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aterina.derbina\Desktop\заявки\2025\157.635 Орел финишная отделка поз. 1\"/>
    </mc:Choice>
  </mc:AlternateContent>
  <bookViews>
    <workbookView xWindow="0" yWindow="0" windowWidth="25200" windowHeight="11550" firstSheet="3" activeTab="3"/>
  </bookViews>
  <sheets>
    <sheet name="5.Ведомость_списания" sheetId="18" state="hidden" r:id="rId1"/>
    <sheet name="4.Ресурсный_расчет" sheetId="16" state="hidden" r:id="rId2"/>
    <sheet name="3.Материалы" sheetId="14" state="hidden" r:id="rId3"/>
    <sheet name="2.Лок.смета.и.Акт" sheetId="12" r:id="rId4"/>
    <sheet name="SourceOb.2" sheetId="11" state="hidden" r:id="rId5"/>
    <sheet name="1.Лок.смета.и.Акт" sheetId="9" state="hidden" r:id="rId6"/>
    <sheet name="SourceOb.1" sheetId="8" state="hidden" r:id="rId7"/>
    <sheet name="Source" sheetId="1" state="hidden" r:id="rId8"/>
    <sheet name="SourceObSm" sheetId="2" state="hidden" r:id="rId9"/>
    <sheet name="SmtRes" sheetId="3" state="hidden" r:id="rId10"/>
    <sheet name="EtalonRes" sheetId="4" state="hidden" r:id="rId11"/>
    <sheet name="SrcPoprs" sheetId="5" state="hidden" r:id="rId12"/>
    <sheet name="SrcKA" sheetId="6" state="hidden" r:id="rId13"/>
  </sheets>
  <definedNames>
    <definedName name="_xlnm.Print_Titles" localSheetId="5">'1.Лок.смета.и.Акт'!$46:$46</definedName>
    <definedName name="_xlnm.Print_Titles" localSheetId="3">'2.Лок.смета.и.Акт'!$20:$20</definedName>
    <definedName name="_xlnm.Print_Titles" localSheetId="2">'3.Материалы'!$18:$18</definedName>
    <definedName name="_xlnm.Print_Titles" localSheetId="1">'4.Ресурсный_расчет'!$18:$18</definedName>
    <definedName name="_xlnm.Print_Titles" localSheetId="0">'5.Ведомость_списания'!$24:$24</definedName>
    <definedName name="_xlnm.Print_Area" localSheetId="5">'1.Лок.смета.и.Акт'!$A$1:$K$255</definedName>
    <definedName name="_xlnm.Print_Area" localSheetId="3">'2.Лок.смета.и.Акт'!$A$1:$G$108</definedName>
    <definedName name="_xlnm.Print_Area" localSheetId="2">'3.Материалы'!$A$1:$G$43</definedName>
    <definedName name="_xlnm.Print_Area" localSheetId="1">'4.Ресурсный_расчет'!$A$1:$G$61</definedName>
    <definedName name="_xlnm.Print_Area" localSheetId="0">'5.Ведомость_списания'!$A$1:$K$68</definedName>
  </definedNames>
  <calcPr calcId="162913" iterate="1"/>
</workbook>
</file>

<file path=xl/calcChain.xml><?xml version="1.0" encoding="utf-8"?>
<calcChain xmlns="http://schemas.openxmlformats.org/spreadsheetml/2006/main">
  <c r="BZ64" i="18" l="1"/>
  <c r="BY64" i="18"/>
  <c r="BZ61" i="18"/>
  <c r="BY61" i="18"/>
  <c r="BZ58" i="18"/>
  <c r="BY58" i="18"/>
  <c r="J79" i="1"/>
  <c r="J77" i="1"/>
  <c r="J73" i="1"/>
  <c r="J71" i="1"/>
  <c r="J69" i="1"/>
  <c r="J67" i="1"/>
  <c r="J63" i="1"/>
  <c r="J61" i="1"/>
  <c r="J57" i="1"/>
  <c r="J55" i="1"/>
  <c r="J53" i="1"/>
  <c r="J51" i="1"/>
  <c r="J47" i="1"/>
  <c r="J45" i="1"/>
  <c r="J43" i="1"/>
  <c r="J41" i="1"/>
  <c r="J37" i="1"/>
  <c r="J35" i="1"/>
  <c r="BU31" i="18"/>
  <c r="J30" i="1"/>
  <c r="J28" i="1"/>
  <c r="BU27" i="18"/>
  <c r="BU26" i="18"/>
  <c r="BU25" i="18"/>
  <c r="DK102" i="3"/>
  <c r="DI102" i="3"/>
  <c r="DK101" i="3"/>
  <c r="DJ101" i="3"/>
  <c r="DI101" i="3"/>
  <c r="DK96" i="3"/>
  <c r="DI96" i="3"/>
  <c r="DK95" i="3"/>
  <c r="DJ95" i="3"/>
  <c r="DI95" i="3"/>
  <c r="DK90" i="3"/>
  <c r="DJ90" i="3"/>
  <c r="DI90" i="3"/>
  <c r="DK89" i="3"/>
  <c r="DJ89" i="3"/>
  <c r="DI89" i="3"/>
  <c r="DK88" i="3"/>
  <c r="DJ88" i="3"/>
  <c r="DI88" i="3"/>
  <c r="DK87" i="3"/>
  <c r="DJ87" i="3"/>
  <c r="DI87" i="3"/>
  <c r="DK81" i="3"/>
  <c r="DJ81" i="3"/>
  <c r="DI81" i="3"/>
  <c r="DK80" i="3"/>
  <c r="DJ80" i="3"/>
  <c r="DI80" i="3"/>
  <c r="DK79" i="3"/>
  <c r="DJ79" i="3"/>
  <c r="DI79" i="3"/>
  <c r="DK78" i="3"/>
  <c r="DJ78" i="3"/>
  <c r="DI78" i="3"/>
  <c r="DK72" i="3"/>
  <c r="DI72" i="3"/>
  <c r="DK71" i="3"/>
  <c r="DJ71" i="3"/>
  <c r="DI71" i="3"/>
  <c r="DK66" i="3"/>
  <c r="DI66" i="3"/>
  <c r="DK65" i="3"/>
  <c r="DJ65" i="3"/>
  <c r="DI65" i="3"/>
  <c r="DK60" i="3"/>
  <c r="DJ60" i="3"/>
  <c r="DI60" i="3"/>
  <c r="DK59" i="3"/>
  <c r="DJ59" i="3"/>
  <c r="DI59" i="3"/>
  <c r="DK58" i="3"/>
  <c r="DJ58" i="3"/>
  <c r="DI58" i="3"/>
  <c r="DK57" i="3"/>
  <c r="DJ57" i="3"/>
  <c r="DI57" i="3"/>
  <c r="DK51" i="3"/>
  <c r="DJ51" i="3"/>
  <c r="DI51" i="3"/>
  <c r="DK50" i="3"/>
  <c r="DJ50" i="3"/>
  <c r="DI50" i="3"/>
  <c r="DK49" i="3"/>
  <c r="DJ49" i="3"/>
  <c r="DI49" i="3"/>
  <c r="DK48" i="3"/>
  <c r="DJ48" i="3"/>
  <c r="DI48" i="3"/>
  <c r="DK42" i="3"/>
  <c r="DJ42" i="3"/>
  <c r="DI42" i="3"/>
  <c r="DK41" i="3"/>
  <c r="DJ41" i="3"/>
  <c r="DI41" i="3"/>
  <c r="DK40" i="3"/>
  <c r="DJ40" i="3"/>
  <c r="DI40" i="3"/>
  <c r="DK39" i="3"/>
  <c r="DJ39" i="3"/>
  <c r="DI39" i="3"/>
  <c r="DK33" i="3"/>
  <c r="DJ33" i="3"/>
  <c r="DI33" i="3"/>
  <c r="DK32" i="3"/>
  <c r="DJ32" i="3"/>
  <c r="DI32" i="3"/>
  <c r="DK31" i="3"/>
  <c r="DJ31" i="3"/>
  <c r="DI31" i="3"/>
  <c r="DK30" i="3"/>
  <c r="DJ30" i="3"/>
  <c r="DI30" i="3"/>
  <c r="DK24" i="3"/>
  <c r="DI24" i="3"/>
  <c r="DK23" i="3"/>
  <c r="DJ23" i="3"/>
  <c r="DI23" i="3"/>
  <c r="DK18" i="3"/>
  <c r="DI18" i="3"/>
  <c r="DK17" i="3"/>
  <c r="DJ17" i="3"/>
  <c r="DI17" i="3"/>
  <c r="DK12" i="3"/>
  <c r="DI12" i="3"/>
  <c r="DK11" i="3"/>
  <c r="DJ11" i="3"/>
  <c r="DI11" i="3"/>
  <c r="DK6" i="3"/>
  <c r="DI6" i="3"/>
  <c r="DK5" i="3"/>
  <c r="DJ5" i="3"/>
  <c r="DI5" i="3"/>
  <c r="BS19" i="18"/>
  <c r="BR14" i="18"/>
  <c r="BR13" i="18"/>
  <c r="BR12" i="18"/>
  <c r="BR11" i="18"/>
  <c r="CA7" i="18"/>
  <c r="CA4" i="18"/>
  <c r="CA3" i="18"/>
  <c r="BZ57" i="16"/>
  <c r="BY57" i="16"/>
  <c r="BZ54" i="16"/>
  <c r="BY54" i="16"/>
  <c r="BZ51" i="16"/>
  <c r="BY51" i="16"/>
  <c r="F39" i="16"/>
  <c r="F37" i="16"/>
  <c r="F42" i="16"/>
  <c r="F36" i="16"/>
  <c r="F35" i="16"/>
  <c r="F40" i="16"/>
  <c r="F41" i="16"/>
  <c r="F38" i="16"/>
  <c r="F30" i="16"/>
  <c r="F29" i="16"/>
  <c r="F28" i="16"/>
  <c r="F31" i="16"/>
  <c r="F27" i="16"/>
  <c r="DK100" i="3"/>
  <c r="DJ100" i="3"/>
  <c r="DI100" i="3"/>
  <c r="DK99" i="3"/>
  <c r="DJ99" i="3"/>
  <c r="DI99" i="3"/>
  <c r="DK94" i="3"/>
  <c r="DJ94" i="3"/>
  <c r="DI94" i="3"/>
  <c r="DK93" i="3"/>
  <c r="DJ93" i="3"/>
  <c r="DI93" i="3"/>
  <c r="DK86" i="3"/>
  <c r="DJ86" i="3"/>
  <c r="DI86" i="3"/>
  <c r="DK85" i="3"/>
  <c r="DJ85" i="3"/>
  <c r="DI85" i="3"/>
  <c r="DK84" i="3"/>
  <c r="DJ84" i="3"/>
  <c r="DI84" i="3"/>
  <c r="DK77" i="3"/>
  <c r="DJ77" i="3"/>
  <c r="DI77" i="3"/>
  <c r="DK76" i="3"/>
  <c r="DJ76" i="3"/>
  <c r="DI76" i="3"/>
  <c r="DK75" i="3"/>
  <c r="DJ75" i="3"/>
  <c r="DI75" i="3"/>
  <c r="DK70" i="3"/>
  <c r="DJ70" i="3"/>
  <c r="DI70" i="3"/>
  <c r="DK69" i="3"/>
  <c r="DJ69" i="3"/>
  <c r="DI69" i="3"/>
  <c r="DK64" i="3"/>
  <c r="DJ64" i="3"/>
  <c r="DI64" i="3"/>
  <c r="DK63" i="3"/>
  <c r="DJ63" i="3"/>
  <c r="DI63" i="3"/>
  <c r="DK56" i="3"/>
  <c r="DJ56" i="3"/>
  <c r="DI56" i="3"/>
  <c r="DK55" i="3"/>
  <c r="DJ55" i="3"/>
  <c r="DI55" i="3"/>
  <c r="DK54" i="3"/>
  <c r="DJ54" i="3"/>
  <c r="DI54" i="3"/>
  <c r="DK47" i="3"/>
  <c r="DJ47" i="3"/>
  <c r="DI47" i="3"/>
  <c r="DK46" i="3"/>
  <c r="DJ46" i="3"/>
  <c r="DI46" i="3"/>
  <c r="DK45" i="3"/>
  <c r="DJ45" i="3"/>
  <c r="DI45" i="3"/>
  <c r="DK38" i="3"/>
  <c r="DJ38" i="3"/>
  <c r="DI38" i="3"/>
  <c r="DK37" i="3"/>
  <c r="DJ37" i="3"/>
  <c r="DI37" i="3"/>
  <c r="DK36" i="3"/>
  <c r="DJ36" i="3"/>
  <c r="DI36" i="3"/>
  <c r="DK29" i="3"/>
  <c r="DJ29" i="3"/>
  <c r="DI29" i="3"/>
  <c r="DK28" i="3"/>
  <c r="DJ28" i="3"/>
  <c r="DI28" i="3"/>
  <c r="DK27" i="3"/>
  <c r="DJ27" i="3"/>
  <c r="DI27" i="3"/>
  <c r="DK22" i="3"/>
  <c r="DJ22" i="3"/>
  <c r="DI22" i="3"/>
  <c r="DK21" i="3"/>
  <c r="DJ21" i="3"/>
  <c r="DI21" i="3"/>
  <c r="DK16" i="3"/>
  <c r="DJ16" i="3"/>
  <c r="DI16" i="3"/>
  <c r="DK15" i="3"/>
  <c r="DJ15" i="3"/>
  <c r="DI15" i="3"/>
  <c r="DK10" i="3"/>
  <c r="DJ10" i="3"/>
  <c r="DI10" i="3"/>
  <c r="DK9" i="3"/>
  <c r="DJ9" i="3"/>
  <c r="DI9" i="3"/>
  <c r="DK4" i="3"/>
  <c r="DJ4" i="3"/>
  <c r="DI4" i="3"/>
  <c r="DK3" i="3"/>
  <c r="DJ3" i="3"/>
  <c r="DI3" i="3"/>
  <c r="F22" i="16"/>
  <c r="F20" i="16"/>
  <c r="F23" i="16"/>
  <c r="F21" i="16"/>
  <c r="DK98" i="3"/>
  <c r="DJ98" i="3"/>
  <c r="DI98" i="3"/>
  <c r="DK97" i="3"/>
  <c r="DJ97" i="3"/>
  <c r="DI97" i="3"/>
  <c r="DK92" i="3"/>
  <c r="DJ92" i="3"/>
  <c r="DI92" i="3"/>
  <c r="DK91" i="3"/>
  <c r="DJ91" i="3"/>
  <c r="DI91" i="3"/>
  <c r="DK83" i="3"/>
  <c r="DJ83" i="3"/>
  <c r="DI83" i="3"/>
  <c r="DK82" i="3"/>
  <c r="DJ82" i="3"/>
  <c r="DI82" i="3"/>
  <c r="DK74" i="3"/>
  <c r="DJ74" i="3"/>
  <c r="DI74" i="3"/>
  <c r="DK73" i="3"/>
  <c r="DJ73" i="3"/>
  <c r="DI73" i="3"/>
  <c r="DK68" i="3"/>
  <c r="DJ68" i="3"/>
  <c r="DI68" i="3"/>
  <c r="DK67" i="3"/>
  <c r="DJ67" i="3"/>
  <c r="DI67" i="3"/>
  <c r="DK62" i="3"/>
  <c r="DJ62" i="3"/>
  <c r="DI62" i="3"/>
  <c r="DK61" i="3"/>
  <c r="DJ61" i="3"/>
  <c r="DI61" i="3"/>
  <c r="DK53" i="3"/>
  <c r="DJ53" i="3"/>
  <c r="DI53" i="3"/>
  <c r="DK52" i="3"/>
  <c r="DJ52" i="3"/>
  <c r="DI52" i="3"/>
  <c r="DK44" i="3"/>
  <c r="DJ44" i="3"/>
  <c r="DI44" i="3"/>
  <c r="DK43" i="3"/>
  <c r="DJ43" i="3"/>
  <c r="DI43" i="3"/>
  <c r="DK35" i="3"/>
  <c r="DJ35" i="3"/>
  <c r="DI35" i="3"/>
  <c r="DK34" i="3"/>
  <c r="DJ34" i="3"/>
  <c r="DI34" i="3"/>
  <c r="DK26" i="3"/>
  <c r="DJ26" i="3"/>
  <c r="DI26" i="3"/>
  <c r="DK25" i="3"/>
  <c r="DJ25" i="3"/>
  <c r="DI25" i="3"/>
  <c r="DK20" i="3"/>
  <c r="DJ20" i="3"/>
  <c r="DI20" i="3"/>
  <c r="DK19" i="3"/>
  <c r="DJ19" i="3"/>
  <c r="DI19" i="3"/>
  <c r="DK14" i="3"/>
  <c r="DJ14" i="3"/>
  <c r="DI14" i="3"/>
  <c r="DK13" i="3"/>
  <c r="DJ13" i="3"/>
  <c r="DI13" i="3"/>
  <c r="DK8" i="3"/>
  <c r="DJ8" i="3"/>
  <c r="DI8" i="3"/>
  <c r="DK7" i="3"/>
  <c r="DJ7" i="3"/>
  <c r="DI7" i="3"/>
  <c r="DK2" i="3"/>
  <c r="DJ2" i="3"/>
  <c r="DI2" i="3"/>
  <c r="DK1" i="3"/>
  <c r="DJ1" i="3"/>
  <c r="DI1" i="3"/>
  <c r="BS11" i="16"/>
  <c r="BR6" i="16"/>
  <c r="BR5" i="16"/>
  <c r="BR4" i="16"/>
  <c r="BR3" i="16"/>
  <c r="BZ39" i="14"/>
  <c r="BY39" i="14"/>
  <c r="BZ36" i="14"/>
  <c r="BY36" i="14"/>
  <c r="BZ33" i="14"/>
  <c r="BY33" i="14"/>
  <c r="F22" i="14"/>
  <c r="F27" i="14"/>
  <c r="F21" i="14"/>
  <c r="F26" i="14"/>
  <c r="F25" i="14"/>
  <c r="F23" i="14"/>
  <c r="F24" i="14"/>
  <c r="F20" i="14"/>
  <c r="BS11" i="14"/>
  <c r="BR6" i="14"/>
  <c r="BR5" i="14"/>
  <c r="BR4" i="14"/>
  <c r="BR3" i="14"/>
  <c r="IU14" i="11"/>
  <c r="IT14" i="11"/>
  <c r="IS14" i="11"/>
  <c r="IR14" i="11"/>
  <c r="IQ14" i="11"/>
  <c r="IP14" i="11"/>
  <c r="IO14" i="11"/>
  <c r="IN14" i="11"/>
  <c r="GG14" i="11"/>
  <c r="GF14" i="11"/>
  <c r="GE14" i="11"/>
  <c r="GD14" i="11"/>
  <c r="GC14" i="11"/>
  <c r="GB14" i="11"/>
  <c r="GA14" i="11"/>
  <c r="FZ14" i="11"/>
  <c r="FY14" i="11"/>
  <c r="FX14" i="11"/>
  <c r="IM14" i="11"/>
  <c r="IL14" i="11"/>
  <c r="IK14" i="11"/>
  <c r="IJ14" i="11"/>
  <c r="II14" i="11"/>
  <c r="IH14" i="11"/>
  <c r="IG14" i="11"/>
  <c r="IF14" i="11"/>
  <c r="IE14" i="11"/>
  <c r="ID14" i="11"/>
  <c r="IC14" i="11"/>
  <c r="IB14" i="11"/>
  <c r="FW14" i="11"/>
  <c r="FV14" i="11"/>
  <c r="FU14" i="11"/>
  <c r="FT14" i="11"/>
  <c r="FS14" i="11"/>
  <c r="FR14" i="11"/>
  <c r="FQ14" i="11"/>
  <c r="FP14" i="11"/>
  <c r="FO14" i="11"/>
  <c r="FN14" i="11"/>
  <c r="FM14" i="11"/>
  <c r="FL14" i="11"/>
  <c r="FK14" i="11"/>
  <c r="FJ14" i="11"/>
  <c r="FI14" i="11"/>
  <c r="FH14" i="11"/>
  <c r="FG14" i="11"/>
  <c r="FF14" i="11"/>
  <c r="FE14" i="11"/>
  <c r="FD14" i="11"/>
  <c r="FC14" i="11"/>
  <c r="FB14" i="11"/>
  <c r="FA14" i="11"/>
  <c r="EZ14" i="11"/>
  <c r="EY14" i="11"/>
  <c r="EX14" i="11"/>
  <c r="EW14" i="11"/>
  <c r="EV14" i="11"/>
  <c r="BP165" i="11"/>
  <c r="BO165" i="11"/>
  <c r="BN165" i="11"/>
  <c r="BM165" i="11"/>
  <c r="BL165" i="11"/>
  <c r="BK165" i="11"/>
  <c r="BJ165" i="11"/>
  <c r="BI165" i="11"/>
  <c r="BH165" i="11"/>
  <c r="BG165" i="11"/>
  <c r="BF165" i="11"/>
  <c r="BE165" i="11"/>
  <c r="BD14" i="11"/>
  <c r="BC14" i="11"/>
  <c r="BB14" i="11"/>
  <c r="BA14" i="11"/>
  <c r="AZ14" i="11"/>
  <c r="AY14" i="11"/>
  <c r="DZ14" i="11"/>
  <c r="DY14" i="11"/>
  <c r="DX14" i="11"/>
  <c r="DD14" i="11"/>
  <c r="DW80" i="1"/>
  <c r="F80" i="1"/>
  <c r="DW78" i="1"/>
  <c r="F78" i="1"/>
  <c r="EW76" i="1"/>
  <c r="AQ76" i="1"/>
  <c r="CA76" i="1"/>
  <c r="BZ76" i="1"/>
  <c r="I76" i="1"/>
  <c r="DH99" i="3" s="1"/>
  <c r="I75" i="1"/>
  <c r="DH96" i="3" s="1"/>
  <c r="DW76" i="1"/>
  <c r="DW74" i="1"/>
  <c r="F74" i="1"/>
  <c r="DW72" i="1"/>
  <c r="F72" i="1"/>
  <c r="DW70" i="1"/>
  <c r="F70" i="1"/>
  <c r="DW68" i="1"/>
  <c r="F68" i="1"/>
  <c r="EW66" i="1"/>
  <c r="AQ66" i="1"/>
  <c r="CA66" i="1"/>
  <c r="BZ66" i="1"/>
  <c r="I66" i="1"/>
  <c r="DH89" i="3" s="1"/>
  <c r="I65" i="1"/>
  <c r="DH81" i="3" s="1"/>
  <c r="DW66" i="1"/>
  <c r="DW64" i="1"/>
  <c r="F64" i="1"/>
  <c r="DW62" i="1"/>
  <c r="F62" i="1"/>
  <c r="EW60" i="1"/>
  <c r="AQ60" i="1"/>
  <c r="CA60" i="1"/>
  <c r="BZ60" i="1"/>
  <c r="I60" i="1"/>
  <c r="I59" i="1"/>
  <c r="DW60" i="1"/>
  <c r="DW58" i="1"/>
  <c r="F58" i="1"/>
  <c r="DW56" i="1"/>
  <c r="F56" i="1"/>
  <c r="DW54" i="1"/>
  <c r="F54" i="1"/>
  <c r="DW52" i="1"/>
  <c r="F52" i="1"/>
  <c r="EW50" i="1"/>
  <c r="AQ50" i="1"/>
  <c r="CA50" i="1"/>
  <c r="BZ50" i="1"/>
  <c r="I50" i="1"/>
  <c r="I49" i="1"/>
  <c r="DW50" i="1"/>
  <c r="DW48" i="1"/>
  <c r="F48" i="1"/>
  <c r="DW46" i="1"/>
  <c r="F46" i="1"/>
  <c r="DW44" i="1"/>
  <c r="F44" i="1"/>
  <c r="DW42" i="1"/>
  <c r="F42" i="1"/>
  <c r="EW40" i="1"/>
  <c r="AQ40" i="1"/>
  <c r="CA40" i="1"/>
  <c r="BZ40" i="1"/>
  <c r="I40" i="1"/>
  <c r="I39" i="1"/>
  <c r="DW40" i="1"/>
  <c r="DW38" i="1"/>
  <c r="F38" i="1"/>
  <c r="DW36" i="1"/>
  <c r="F36" i="1"/>
  <c r="EW34" i="1"/>
  <c r="AQ34" i="1"/>
  <c r="CA34" i="1"/>
  <c r="BZ34" i="1"/>
  <c r="I34" i="1"/>
  <c r="I33" i="1"/>
  <c r="DW34" i="1"/>
  <c r="BV28" i="12"/>
  <c r="DW31" i="1"/>
  <c r="F31" i="1"/>
  <c r="DW29" i="1"/>
  <c r="F29" i="1"/>
  <c r="EW27" i="1"/>
  <c r="AQ27" i="1"/>
  <c r="CA27" i="1"/>
  <c r="BZ27" i="1"/>
  <c r="I27" i="1"/>
  <c r="I26" i="1"/>
  <c r="DW27" i="1"/>
  <c r="BV24" i="12"/>
  <c r="BV22" i="12"/>
  <c r="BZ251" i="9"/>
  <c r="BY251" i="9"/>
  <c r="BZ248" i="9"/>
  <c r="BY248" i="9"/>
  <c r="BZ245" i="9"/>
  <c r="BY245" i="9"/>
  <c r="BZ239" i="9"/>
  <c r="BY239" i="9"/>
  <c r="BZ236" i="9"/>
  <c r="BY236" i="9"/>
  <c r="K230" i="9"/>
  <c r="I230" i="9"/>
  <c r="I216" i="9"/>
  <c r="I215" i="9"/>
  <c r="I214" i="9"/>
  <c r="K209" i="9"/>
  <c r="I209" i="9"/>
  <c r="I208" i="9"/>
  <c r="I207" i="9"/>
  <c r="I206" i="9"/>
  <c r="I204" i="9"/>
  <c r="K197" i="9"/>
  <c r="I197" i="9"/>
  <c r="K196" i="9"/>
  <c r="I196" i="9"/>
  <c r="I194" i="9"/>
  <c r="K187" i="9"/>
  <c r="I187" i="9"/>
  <c r="K186" i="9"/>
  <c r="I186" i="9"/>
  <c r="K185" i="9"/>
  <c r="I185" i="9"/>
  <c r="K184" i="9"/>
  <c r="I184" i="9"/>
  <c r="K183" i="9"/>
  <c r="I183" i="9"/>
  <c r="K182" i="9"/>
  <c r="I182" i="9"/>
  <c r="K181" i="9"/>
  <c r="I181" i="9"/>
  <c r="K179" i="9"/>
  <c r="I179" i="9"/>
  <c r="K178" i="9"/>
  <c r="I178" i="9"/>
  <c r="K177" i="9"/>
  <c r="I177" i="9"/>
  <c r="K176" i="9"/>
  <c r="I176" i="9"/>
  <c r="K174" i="9"/>
  <c r="I174" i="9"/>
  <c r="K173" i="9"/>
  <c r="I173" i="9"/>
  <c r="K172" i="9"/>
  <c r="I172" i="9"/>
  <c r="IU14" i="8"/>
  <c r="IT14" i="8"/>
  <c r="IS14" i="8"/>
  <c r="IQ14" i="8"/>
  <c r="IP14" i="8"/>
  <c r="IO14" i="8"/>
  <c r="GG14" i="8"/>
  <c r="GF14" i="8"/>
  <c r="GD14" i="8"/>
  <c r="GC14" i="8"/>
  <c r="GA14" i="8"/>
  <c r="FZ14" i="8"/>
  <c r="FY14" i="8"/>
  <c r="IM14" i="8"/>
  <c r="IL14" i="8"/>
  <c r="IK14" i="8"/>
  <c r="IJ14" i="8"/>
  <c r="IG14" i="8"/>
  <c r="IF14" i="8"/>
  <c r="IE14" i="8"/>
  <c r="ID14" i="8"/>
  <c r="IC14" i="8"/>
  <c r="IB14" i="8"/>
  <c r="FW14" i="8"/>
  <c r="FV14" i="8"/>
  <c r="FU14" i="8"/>
  <c r="FT14" i="8"/>
  <c r="FS14" i="8"/>
  <c r="FQ14" i="8"/>
  <c r="FP14" i="8"/>
  <c r="FO14" i="8"/>
  <c r="FJ14" i="8"/>
  <c r="FI14" i="8"/>
  <c r="FH14" i="8"/>
  <c r="FG14" i="8"/>
  <c r="FF14" i="8"/>
  <c r="FD14" i="8"/>
  <c r="FA14" i="8"/>
  <c r="BP165" i="8"/>
  <c r="BO165" i="8"/>
  <c r="BN165" i="8"/>
  <c r="BM165" i="8"/>
  <c r="BL165" i="8"/>
  <c r="BK165" i="8"/>
  <c r="BJ165" i="8"/>
  <c r="BI165" i="8"/>
  <c r="BH165" i="8"/>
  <c r="BG165" i="8"/>
  <c r="BF165" i="8"/>
  <c r="BE165" i="8"/>
  <c r="BD14" i="8"/>
  <c r="BC14" i="8"/>
  <c r="BB14" i="8"/>
  <c r="BA14" i="8"/>
  <c r="AZ14" i="8"/>
  <c r="AY14" i="8"/>
  <c r="DZ14" i="8"/>
  <c r="DY14" i="8"/>
  <c r="DX14" i="8"/>
  <c r="DD14" i="8"/>
  <c r="ES79" i="1"/>
  <c r="AL79" i="1"/>
  <c r="ES77" i="1"/>
  <c r="AL77" i="1"/>
  <c r="DO76" i="1"/>
  <c r="DN76" i="1"/>
  <c r="BS76" i="1"/>
  <c r="EU76" i="1"/>
  <c r="AN76" i="1"/>
  <c r="BB76" i="1"/>
  <c r="ET76" i="1"/>
  <c r="AM76" i="1"/>
  <c r="BA76" i="1"/>
  <c r="EV76" i="1"/>
  <c r="ER76" i="1" s="1"/>
  <c r="AO76" i="1"/>
  <c r="ES73" i="1"/>
  <c r="AL73" i="1"/>
  <c r="ES71" i="1"/>
  <c r="AL71" i="1"/>
  <c r="ES69" i="1"/>
  <c r="AL69" i="1"/>
  <c r="ES67" i="1"/>
  <c r="AL67" i="1"/>
  <c r="DO66" i="1"/>
  <c r="DN66" i="1"/>
  <c r="BS66" i="1"/>
  <c r="EU66" i="1"/>
  <c r="AN66" i="1"/>
  <c r="BB66" i="1"/>
  <c r="ET66" i="1"/>
  <c r="AM66" i="1"/>
  <c r="BA66" i="1"/>
  <c r="EV66" i="1"/>
  <c r="AO66" i="1"/>
  <c r="ES63" i="1"/>
  <c r="AL63" i="1"/>
  <c r="ES61" i="1"/>
  <c r="AL61" i="1"/>
  <c r="DO60" i="1"/>
  <c r="DN60" i="1"/>
  <c r="BS60" i="1"/>
  <c r="EU60" i="1"/>
  <c r="AN60" i="1"/>
  <c r="BB60" i="1"/>
  <c r="ET60" i="1"/>
  <c r="AM60" i="1"/>
  <c r="BA60" i="1"/>
  <c r="EV60" i="1"/>
  <c r="AO60" i="1"/>
  <c r="ES57" i="1"/>
  <c r="AL57" i="1"/>
  <c r="ES55" i="1"/>
  <c r="AL55" i="1"/>
  <c r="ES53" i="1"/>
  <c r="AL53" i="1"/>
  <c r="ES51" i="1"/>
  <c r="AL51" i="1"/>
  <c r="DO50" i="1"/>
  <c r="DN50" i="1"/>
  <c r="BS50" i="1"/>
  <c r="EU50" i="1"/>
  <c r="AN50" i="1"/>
  <c r="BB50" i="1"/>
  <c r="ET50" i="1"/>
  <c r="AM50" i="1"/>
  <c r="BA50" i="1"/>
  <c r="EV50" i="1"/>
  <c r="AO50" i="1"/>
  <c r="ES47" i="1"/>
  <c r="AL47" i="1"/>
  <c r="ES45" i="1"/>
  <c r="AL45" i="1"/>
  <c r="ES43" i="1"/>
  <c r="AL43" i="1"/>
  <c r="ES41" i="1"/>
  <c r="AL41" i="1"/>
  <c r="DO40" i="1"/>
  <c r="DN40" i="1"/>
  <c r="BS40" i="1"/>
  <c r="EU40" i="1"/>
  <c r="AN40" i="1"/>
  <c r="BB40" i="1"/>
  <c r="ET40" i="1"/>
  <c r="AM40" i="1"/>
  <c r="BA40" i="1"/>
  <c r="EV40" i="1"/>
  <c r="AO40" i="1"/>
  <c r="ES37" i="1"/>
  <c r="AL37" i="1"/>
  <c r="ES35" i="1"/>
  <c r="AL35" i="1"/>
  <c r="DO34" i="1"/>
  <c r="DN34" i="1"/>
  <c r="BS34" i="1"/>
  <c r="EU34" i="1"/>
  <c r="AN34" i="1"/>
  <c r="BB34" i="1"/>
  <c r="ET34" i="1"/>
  <c r="AM34" i="1"/>
  <c r="BA34" i="1"/>
  <c r="EV34" i="1"/>
  <c r="AO34" i="1"/>
  <c r="BX67" i="9"/>
  <c r="ES30" i="1"/>
  <c r="AL30" i="1"/>
  <c r="ES28" i="1"/>
  <c r="AL28" i="1"/>
  <c r="DO27" i="1"/>
  <c r="DN27" i="1"/>
  <c r="BS27" i="1"/>
  <c r="EU27" i="1"/>
  <c r="AN27" i="1"/>
  <c r="BB27" i="1"/>
  <c r="ET27" i="1"/>
  <c r="AM27" i="1"/>
  <c r="BA27" i="1"/>
  <c r="EV27" i="1"/>
  <c r="AO27" i="1"/>
  <c r="BX50" i="9"/>
  <c r="BX48" i="9"/>
  <c r="BT35" i="9"/>
  <c r="BV34" i="9"/>
  <c r="BT31" i="9"/>
  <c r="BT30" i="9"/>
  <c r="BT29" i="9"/>
  <c r="BU23" i="9"/>
  <c r="BW14" i="9"/>
  <c r="BS13" i="9"/>
  <c r="BS12" i="9"/>
  <c r="BS11" i="9"/>
  <c r="BR10" i="9"/>
  <c r="BR9" i="9"/>
  <c r="BR8" i="9"/>
  <c r="BR7" i="9"/>
  <c r="DH9" i="3" l="1"/>
  <c r="DH7" i="3"/>
  <c r="DH11" i="3"/>
  <c r="DH10" i="3"/>
  <c r="DH8" i="3"/>
  <c r="DH12" i="3"/>
  <c r="DH22" i="3"/>
  <c r="DH20" i="3"/>
  <c r="DH23" i="3"/>
  <c r="DH24" i="3"/>
  <c r="DH21" i="3"/>
  <c r="DH19" i="3"/>
  <c r="E45" i="18"/>
  <c r="DH61" i="3"/>
  <c r="DH65" i="3"/>
  <c r="DH63" i="3"/>
  <c r="DH62" i="3"/>
  <c r="DH66" i="3"/>
  <c r="DH64" i="3"/>
  <c r="DH49" i="3"/>
  <c r="DH47" i="3"/>
  <c r="DH44" i="3"/>
  <c r="DH50" i="3"/>
  <c r="DH45" i="3"/>
  <c r="E40" i="18"/>
  <c r="DH51" i="3"/>
  <c r="DH48" i="3"/>
  <c r="DH46" i="3"/>
  <c r="DH43" i="3"/>
  <c r="DH69" i="3"/>
  <c r="DH68" i="3"/>
  <c r="DH71" i="3"/>
  <c r="DH70" i="3"/>
  <c r="DH72" i="3"/>
  <c r="DH67" i="3"/>
  <c r="E35" i="18"/>
  <c r="DH33" i="3"/>
  <c r="DH30" i="3"/>
  <c r="DH29" i="3"/>
  <c r="DH31" i="3"/>
  <c r="DH27" i="3"/>
  <c r="DH25" i="3"/>
  <c r="DH32" i="3"/>
  <c r="DH28" i="3"/>
  <c r="DH26" i="3"/>
  <c r="DH60" i="3"/>
  <c r="DH57" i="3"/>
  <c r="DH56" i="3"/>
  <c r="DH58" i="3"/>
  <c r="DH54" i="3"/>
  <c r="DH52" i="3"/>
  <c r="DH59" i="3"/>
  <c r="DH55" i="3"/>
  <c r="DH53" i="3"/>
  <c r="DH6" i="3"/>
  <c r="DH4" i="3"/>
  <c r="DH2" i="3"/>
  <c r="DH5" i="3"/>
  <c r="DH3" i="3"/>
  <c r="DH1" i="3"/>
  <c r="E28" i="18"/>
  <c r="DH15" i="3"/>
  <c r="DH13" i="3"/>
  <c r="DH17" i="3"/>
  <c r="DH16" i="3"/>
  <c r="DH14" i="3"/>
  <c r="DH18" i="3"/>
  <c r="E32" i="18"/>
  <c r="DH41" i="3"/>
  <c r="DH38" i="3"/>
  <c r="DH34" i="3"/>
  <c r="DH42" i="3"/>
  <c r="DH39" i="3"/>
  <c r="DH36" i="3"/>
  <c r="DH35" i="3"/>
  <c r="DH40" i="3"/>
  <c r="DH37" i="3"/>
  <c r="DH102" i="3"/>
  <c r="DH74" i="3"/>
  <c r="DH91" i="3"/>
  <c r="DH98" i="3"/>
  <c r="DH75" i="3"/>
  <c r="DH84" i="3"/>
  <c r="DH93" i="3"/>
  <c r="DH100" i="3"/>
  <c r="DH80" i="3"/>
  <c r="DH88" i="3"/>
  <c r="DH95" i="3"/>
  <c r="E53" i="18"/>
  <c r="DH101" i="3"/>
  <c r="DH73" i="3"/>
  <c r="DH83" i="3"/>
  <c r="DH97" i="3"/>
  <c r="DH77" i="3"/>
  <c r="DH86" i="3"/>
  <c r="DH79" i="3"/>
  <c r="DH87" i="3"/>
  <c r="DH90" i="3"/>
  <c r="E48" i="18"/>
  <c r="DH82" i="3"/>
  <c r="DH92" i="3"/>
  <c r="DH76" i="3"/>
  <c r="DH85" i="3"/>
  <c r="DH94" i="3"/>
  <c r="DH78" i="3"/>
  <c r="AK76" i="1"/>
  <c r="F151" i="9" s="1"/>
  <c r="ER66" i="1"/>
  <c r="AK60" i="1"/>
  <c r="F119" i="9" s="1"/>
  <c r="AK66" i="1"/>
  <c r="F133" i="9" s="1"/>
  <c r="ER60" i="1"/>
  <c r="ER50" i="1"/>
  <c r="AK50" i="1"/>
  <c r="F101" i="9" s="1"/>
  <c r="ER40" i="1"/>
  <c r="ER34" i="1"/>
  <c r="AK40" i="1"/>
  <c r="F83" i="9" s="1"/>
  <c r="AK34" i="1"/>
  <c r="F69" i="9" s="1"/>
  <c r="ER27" i="1"/>
  <c r="AK27" i="1"/>
  <c r="F52" i="9" s="1"/>
  <c r="A1"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 i="3"/>
  <c r="Y1" i="3"/>
  <c r="CV1" i="3" s="1"/>
  <c r="CU1" i="3"/>
  <c r="CY1" i="3"/>
  <c r="CZ1" i="3"/>
  <c r="DA1" i="3"/>
  <c r="DB1" i="3"/>
  <c r="DC1" i="3"/>
  <c r="A2" i="3"/>
  <c r="Y2" i="3"/>
  <c r="CX2" i="3" s="1"/>
  <c r="DG2" i="3" s="1"/>
  <c r="CY2" i="3"/>
  <c r="CZ2" i="3"/>
  <c r="DA2" i="3"/>
  <c r="DB2" i="3"/>
  <c r="DC2" i="3"/>
  <c r="A3" i="3"/>
  <c r="Y3" i="3"/>
  <c r="CX3" i="3" s="1"/>
  <c r="DG3" i="3" s="1"/>
  <c r="CW3" i="3"/>
  <c r="CY3" i="3"/>
  <c r="CZ3" i="3"/>
  <c r="DB3" i="3" s="1"/>
  <c r="DA3" i="3"/>
  <c r="DC3" i="3"/>
  <c r="A4" i="3"/>
  <c r="Y4" i="3"/>
  <c r="CW4" i="3"/>
  <c r="CX4" i="3"/>
  <c r="DF4" i="3" s="1"/>
  <c r="CY4" i="3"/>
  <c r="CZ4" i="3"/>
  <c r="DA4" i="3"/>
  <c r="DB4" i="3"/>
  <c r="DC4" i="3"/>
  <c r="A5" i="3"/>
  <c r="Y5" i="3"/>
  <c r="CX5" i="3"/>
  <c r="CY5" i="3"/>
  <c r="CZ5" i="3"/>
  <c r="DA5" i="3"/>
  <c r="DB5" i="3"/>
  <c r="DC5" i="3"/>
  <c r="A6" i="3"/>
  <c r="Y6" i="3"/>
  <c r="CX6" i="3" s="1"/>
  <c r="DG6" i="3" s="1"/>
  <c r="CY6" i="3"/>
  <c r="CZ6" i="3"/>
  <c r="DB6" i="3" s="1"/>
  <c r="DA6" i="3"/>
  <c r="DC6" i="3"/>
  <c r="A7" i="3"/>
  <c r="Y7" i="3"/>
  <c r="CU7" i="3"/>
  <c r="CV7" i="3"/>
  <c r="CX7" i="3"/>
  <c r="P21" i="16" s="1"/>
  <c r="CY7" i="3"/>
  <c r="CZ7" i="3"/>
  <c r="DA7" i="3"/>
  <c r="DB7" i="3"/>
  <c r="DC7" i="3"/>
  <c r="A8" i="3"/>
  <c r="Y8" i="3"/>
  <c r="CX8" i="3" s="1"/>
  <c r="P23" i="16" s="1"/>
  <c r="CY8" i="3"/>
  <c r="CZ8" i="3"/>
  <c r="DB8" i="3" s="1"/>
  <c r="DA8" i="3"/>
  <c r="DC8" i="3"/>
  <c r="A9" i="3"/>
  <c r="Y9" i="3"/>
  <c r="CW9" i="3"/>
  <c r="CX9" i="3"/>
  <c r="CY9" i="3"/>
  <c r="CZ9" i="3"/>
  <c r="DA9" i="3"/>
  <c r="DB9" i="3"/>
  <c r="DC9" i="3"/>
  <c r="A10" i="3"/>
  <c r="Y10" i="3"/>
  <c r="CX10" i="3" s="1"/>
  <c r="P31" i="16" s="1"/>
  <c r="CW10" i="3"/>
  <c r="CY10" i="3"/>
  <c r="CZ10" i="3"/>
  <c r="DB10" i="3" s="1"/>
  <c r="DA10" i="3"/>
  <c r="DC10" i="3"/>
  <c r="A11" i="3"/>
  <c r="Y11" i="3"/>
  <c r="CX11" i="3"/>
  <c r="DG11" i="3" s="1"/>
  <c r="CY11" i="3"/>
  <c r="CZ11" i="3"/>
  <c r="DB11" i="3" s="1"/>
  <c r="DA11" i="3"/>
  <c r="DC11" i="3"/>
  <c r="A12" i="3"/>
  <c r="Y12" i="3"/>
  <c r="CX12" i="3" s="1"/>
  <c r="CY12" i="3"/>
  <c r="CZ12" i="3"/>
  <c r="DA12" i="3"/>
  <c r="DB12" i="3"/>
  <c r="DC12" i="3"/>
  <c r="A13" i="3"/>
  <c r="Y13" i="3"/>
  <c r="CV13" i="3" s="1"/>
  <c r="CU13" i="3"/>
  <c r="CX13" i="3"/>
  <c r="CY13" i="3"/>
  <c r="CZ13" i="3"/>
  <c r="DB13" i="3" s="1"/>
  <c r="DA13" i="3"/>
  <c r="DC13" i="3"/>
  <c r="A14" i="3"/>
  <c r="Y14" i="3"/>
  <c r="CX14" i="3"/>
  <c r="DF14" i="3" s="1"/>
  <c r="CY14" i="3"/>
  <c r="CZ14" i="3"/>
  <c r="DA14" i="3"/>
  <c r="DB14" i="3"/>
  <c r="DC14" i="3"/>
  <c r="A15" i="3"/>
  <c r="Y15" i="3"/>
  <c r="CX15" i="3" s="1"/>
  <c r="DG15" i="3" s="1"/>
  <c r="CW15" i="3"/>
  <c r="CY15" i="3"/>
  <c r="CZ15" i="3"/>
  <c r="DB15" i="3" s="1"/>
  <c r="DA15" i="3"/>
  <c r="DC15" i="3"/>
  <c r="A16" i="3"/>
  <c r="Y16" i="3"/>
  <c r="CW16" i="3"/>
  <c r="CX16" i="3"/>
  <c r="DF16" i="3" s="1"/>
  <c r="CY16" i="3"/>
  <c r="CZ16" i="3"/>
  <c r="DA16" i="3"/>
  <c r="DB16" i="3"/>
  <c r="DC16" i="3"/>
  <c r="A17" i="3"/>
  <c r="Y17" i="3"/>
  <c r="CX17" i="3"/>
  <c r="CY17" i="3"/>
  <c r="CZ17" i="3"/>
  <c r="DB17" i="3" s="1"/>
  <c r="DA17" i="3"/>
  <c r="DC17" i="3"/>
  <c r="A18" i="3"/>
  <c r="Y18" i="3"/>
  <c r="CX18" i="3" s="1"/>
  <c r="DG18" i="3" s="1"/>
  <c r="CY18" i="3"/>
  <c r="CZ18" i="3"/>
  <c r="DB18" i="3" s="1"/>
  <c r="DA18" i="3"/>
  <c r="DC18" i="3"/>
  <c r="A19" i="3"/>
  <c r="Y19" i="3"/>
  <c r="CU19" i="3"/>
  <c r="CV19" i="3"/>
  <c r="CX19" i="3"/>
  <c r="P20" i="16" s="1"/>
  <c r="CY19" i="3"/>
  <c r="CZ19" i="3"/>
  <c r="DA19" i="3"/>
  <c r="DB19" i="3"/>
  <c r="DC19" i="3"/>
  <c r="A20" i="3"/>
  <c r="Y20" i="3"/>
  <c r="CX20" i="3" s="1"/>
  <c r="Q23" i="16" s="1"/>
  <c r="CY20" i="3"/>
  <c r="CZ20" i="3"/>
  <c r="DB20" i="3" s="1"/>
  <c r="DA20" i="3"/>
  <c r="DC20" i="3"/>
  <c r="A21" i="3"/>
  <c r="Y21" i="3"/>
  <c r="CW21" i="3"/>
  <c r="CX21" i="3"/>
  <c r="CY21" i="3"/>
  <c r="CZ21" i="3"/>
  <c r="DA21" i="3"/>
  <c r="DB21" i="3"/>
  <c r="DC21" i="3"/>
  <c r="A22" i="3"/>
  <c r="Y22" i="3"/>
  <c r="CX22" i="3" s="1"/>
  <c r="CW22" i="3"/>
  <c r="CY22" i="3"/>
  <c r="CZ22" i="3"/>
  <c r="DB22" i="3" s="1"/>
  <c r="DA22" i="3"/>
  <c r="DC22" i="3"/>
  <c r="A23" i="3"/>
  <c r="Y23" i="3"/>
  <c r="CX23" i="3"/>
  <c r="CY23" i="3"/>
  <c r="CZ23" i="3"/>
  <c r="DB23" i="3" s="1"/>
  <c r="DA23" i="3"/>
  <c r="DC23" i="3"/>
  <c r="A24" i="3"/>
  <c r="Y24" i="3"/>
  <c r="CX24" i="3"/>
  <c r="DF24" i="3" s="1"/>
  <c r="DJ24" i="3" s="1"/>
  <c r="CY24" i="3"/>
  <c r="CZ24" i="3"/>
  <c r="DA24" i="3"/>
  <c r="DB24" i="3"/>
  <c r="DC24" i="3"/>
  <c r="A25" i="3"/>
  <c r="Y25" i="3"/>
  <c r="CV25" i="3" s="1"/>
  <c r="CU25" i="3"/>
  <c r="CY25" i="3"/>
  <c r="CZ25" i="3"/>
  <c r="DB25" i="3" s="1"/>
  <c r="DA25" i="3"/>
  <c r="DC25" i="3"/>
  <c r="A26" i="3"/>
  <c r="Y26" i="3"/>
  <c r="CX26" i="3" s="1"/>
  <c r="CY26" i="3"/>
  <c r="CZ26" i="3"/>
  <c r="DA26" i="3"/>
  <c r="DB26" i="3"/>
  <c r="DC26" i="3"/>
  <c r="A27" i="3"/>
  <c r="Y27" i="3"/>
  <c r="CX27" i="3" s="1"/>
  <c r="CW27" i="3"/>
  <c r="CY27" i="3"/>
  <c r="CZ27" i="3"/>
  <c r="DB27" i="3" s="1"/>
  <c r="DA27" i="3"/>
  <c r="DC27" i="3"/>
  <c r="A28" i="3"/>
  <c r="Y28" i="3"/>
  <c r="CW28" i="3"/>
  <c r="CX28" i="3"/>
  <c r="DF28" i="3" s="1"/>
  <c r="CY28" i="3"/>
  <c r="CZ28" i="3"/>
  <c r="DA28" i="3"/>
  <c r="DB28" i="3"/>
  <c r="DC28" i="3"/>
  <c r="A29" i="3"/>
  <c r="Y29" i="3"/>
  <c r="CX29" i="3" s="1"/>
  <c r="DG29" i="3" s="1"/>
  <c r="CW29" i="3"/>
  <c r="CY29" i="3"/>
  <c r="CZ29" i="3"/>
  <c r="DB29" i="3" s="1"/>
  <c r="DA29" i="3"/>
  <c r="DC29" i="3"/>
  <c r="A30" i="3"/>
  <c r="Y30" i="3"/>
  <c r="CX30" i="3"/>
  <c r="DF30" i="3" s="1"/>
  <c r="CY30" i="3"/>
  <c r="CZ30" i="3"/>
  <c r="DB30" i="3" s="1"/>
  <c r="DA30" i="3"/>
  <c r="DC30" i="3"/>
  <c r="A31" i="3"/>
  <c r="Y31" i="3"/>
  <c r="CX31" i="3"/>
  <c r="DF31" i="3" s="1"/>
  <c r="CY31" i="3"/>
  <c r="CZ31" i="3"/>
  <c r="DA31" i="3"/>
  <c r="DB31" i="3"/>
  <c r="DC31" i="3"/>
  <c r="A32" i="3"/>
  <c r="Y32" i="3"/>
  <c r="CX32" i="3"/>
  <c r="CY32" i="3"/>
  <c r="CZ32" i="3"/>
  <c r="DA32" i="3"/>
  <c r="DB32" i="3"/>
  <c r="DC32" i="3"/>
  <c r="A33" i="3"/>
  <c r="Y33" i="3"/>
  <c r="CX33" i="3" s="1"/>
  <c r="CY33" i="3"/>
  <c r="CZ33" i="3"/>
  <c r="DB33" i="3" s="1"/>
  <c r="DA33" i="3"/>
  <c r="DC33" i="3"/>
  <c r="A34" i="3"/>
  <c r="Y34" i="3"/>
  <c r="CU34" i="3"/>
  <c r="CV34" i="3"/>
  <c r="CX34" i="3"/>
  <c r="P22" i="16" s="1"/>
  <c r="CY34" i="3"/>
  <c r="CZ34" i="3"/>
  <c r="DB34" i="3" s="1"/>
  <c r="DA34" i="3"/>
  <c r="DC34" i="3"/>
  <c r="A35" i="3"/>
  <c r="Y35" i="3"/>
  <c r="CX35" i="3" s="1"/>
  <c r="CY35" i="3"/>
  <c r="CZ35" i="3"/>
  <c r="DB35" i="3" s="1"/>
  <c r="DA35" i="3"/>
  <c r="DC35" i="3"/>
  <c r="A36" i="3"/>
  <c r="Y36" i="3"/>
  <c r="CW36" i="3"/>
  <c r="CX36" i="3"/>
  <c r="CY36" i="3"/>
  <c r="CZ36" i="3"/>
  <c r="DA36" i="3"/>
  <c r="DB36" i="3"/>
  <c r="DC36" i="3"/>
  <c r="A37" i="3"/>
  <c r="Y37" i="3"/>
  <c r="CX37" i="3" s="1"/>
  <c r="P29" i="16" s="1"/>
  <c r="CW37" i="3"/>
  <c r="CY37" i="3"/>
  <c r="CZ37" i="3"/>
  <c r="DB37" i="3" s="1"/>
  <c r="DA37" i="3"/>
  <c r="DC37" i="3"/>
  <c r="A38" i="3"/>
  <c r="Y38" i="3"/>
  <c r="CW38" i="3"/>
  <c r="CX38" i="3"/>
  <c r="CY38" i="3"/>
  <c r="CZ38" i="3"/>
  <c r="DA38" i="3"/>
  <c r="DB38" i="3"/>
  <c r="DC38" i="3"/>
  <c r="A39" i="3"/>
  <c r="Y39" i="3"/>
  <c r="CX39" i="3"/>
  <c r="DF39" i="3" s="1"/>
  <c r="CY39" i="3"/>
  <c r="CZ39" i="3"/>
  <c r="DA39" i="3"/>
  <c r="DB39" i="3"/>
  <c r="DC39" i="3"/>
  <c r="A40" i="3"/>
  <c r="Y40" i="3"/>
  <c r="CX40" i="3" s="1"/>
  <c r="DG40" i="3" s="1"/>
  <c r="CY40" i="3"/>
  <c r="CZ40" i="3"/>
  <c r="DB40" i="3" s="1"/>
  <c r="DA40" i="3"/>
  <c r="DC40" i="3"/>
  <c r="A41" i="3"/>
  <c r="Y41" i="3"/>
  <c r="CX41" i="3"/>
  <c r="DG41" i="3" s="1"/>
  <c r="CY41" i="3"/>
  <c r="CZ41" i="3"/>
  <c r="DA41" i="3"/>
  <c r="DB41" i="3"/>
  <c r="DC41" i="3"/>
  <c r="A42" i="3"/>
  <c r="Y42" i="3"/>
  <c r="CX42" i="3" s="1"/>
  <c r="CY42" i="3"/>
  <c r="CZ42" i="3"/>
  <c r="DA42" i="3"/>
  <c r="DB42" i="3"/>
  <c r="DC42" i="3"/>
  <c r="A43" i="3"/>
  <c r="Y43" i="3"/>
  <c r="CV43" i="3" s="1"/>
  <c r="CU43" i="3"/>
  <c r="CX43" i="3"/>
  <c r="DF43" i="3" s="1"/>
  <c r="CY43" i="3"/>
  <c r="CZ43" i="3"/>
  <c r="DB43" i="3" s="1"/>
  <c r="DA43" i="3"/>
  <c r="DC43" i="3"/>
  <c r="A44" i="3"/>
  <c r="Y44" i="3"/>
  <c r="CX44" i="3"/>
  <c r="DF44" i="3" s="1"/>
  <c r="CY44" i="3"/>
  <c r="CZ44" i="3"/>
  <c r="DA44" i="3"/>
  <c r="DB44" i="3"/>
  <c r="DC44" i="3"/>
  <c r="A45" i="3"/>
  <c r="Y45" i="3"/>
  <c r="CX45" i="3" s="1"/>
  <c r="DG45" i="3" s="1"/>
  <c r="CW45" i="3"/>
  <c r="CY45" i="3"/>
  <c r="CZ45" i="3"/>
  <c r="DB45" i="3" s="1"/>
  <c r="DA45" i="3"/>
  <c r="DC45" i="3"/>
  <c r="A46" i="3"/>
  <c r="Y46" i="3"/>
  <c r="CW46" i="3"/>
  <c r="CX46" i="3"/>
  <c r="DF46" i="3" s="1"/>
  <c r="CY46" i="3"/>
  <c r="CZ46" i="3"/>
  <c r="DA46" i="3"/>
  <c r="DB46" i="3"/>
  <c r="DC46" i="3"/>
  <c r="A47" i="3"/>
  <c r="Y47" i="3"/>
  <c r="CX47" i="3" s="1"/>
  <c r="DG47" i="3" s="1"/>
  <c r="CW47" i="3"/>
  <c r="CY47" i="3"/>
  <c r="CZ47" i="3"/>
  <c r="DB47" i="3" s="1"/>
  <c r="DA47" i="3"/>
  <c r="DC47" i="3"/>
  <c r="A48" i="3"/>
  <c r="Y48" i="3"/>
  <c r="CX48" i="3"/>
  <c r="DG48" i="3" s="1"/>
  <c r="CY48" i="3"/>
  <c r="CZ48" i="3"/>
  <c r="DA48" i="3"/>
  <c r="DB48" i="3"/>
  <c r="DC48" i="3"/>
  <c r="A49" i="3"/>
  <c r="Y49" i="3"/>
  <c r="CX49" i="3" s="1"/>
  <c r="DG49" i="3" s="1"/>
  <c r="CY49" i="3"/>
  <c r="CZ49" i="3"/>
  <c r="DA49" i="3"/>
  <c r="DB49" i="3"/>
  <c r="DC49" i="3"/>
  <c r="A50" i="3"/>
  <c r="Y50" i="3"/>
  <c r="CX50" i="3"/>
  <c r="CY50" i="3"/>
  <c r="CZ50" i="3"/>
  <c r="DA50" i="3"/>
  <c r="DB50" i="3"/>
  <c r="DC50" i="3"/>
  <c r="A51" i="3"/>
  <c r="Y51" i="3"/>
  <c r="CX51" i="3" s="1"/>
  <c r="DG51" i="3" s="1"/>
  <c r="CY51" i="3"/>
  <c r="CZ51" i="3"/>
  <c r="DB51" i="3" s="1"/>
  <c r="DA51" i="3"/>
  <c r="DC51" i="3"/>
  <c r="A52" i="3"/>
  <c r="Y52" i="3"/>
  <c r="CU52" i="3"/>
  <c r="CV52" i="3"/>
  <c r="CX52" i="3"/>
  <c r="Q22" i="16" s="1"/>
  <c r="CY52" i="3"/>
  <c r="CZ52" i="3"/>
  <c r="DA52" i="3"/>
  <c r="DB52" i="3"/>
  <c r="DC52" i="3"/>
  <c r="A53" i="3"/>
  <c r="Y53" i="3"/>
  <c r="CX53" i="3" s="1"/>
  <c r="S23" i="16" s="1"/>
  <c r="CY53" i="3"/>
  <c r="CZ53" i="3"/>
  <c r="DB53" i="3" s="1"/>
  <c r="DA53" i="3"/>
  <c r="DC53" i="3"/>
  <c r="A54" i="3"/>
  <c r="Y54" i="3"/>
  <c r="CW54" i="3"/>
  <c r="CX54" i="3"/>
  <c r="CY54" i="3"/>
  <c r="CZ54" i="3"/>
  <c r="DA54" i="3"/>
  <c r="DB54" i="3"/>
  <c r="DC54" i="3"/>
  <c r="A55" i="3"/>
  <c r="Y55" i="3"/>
  <c r="CX55" i="3" s="1"/>
  <c r="Q29" i="16" s="1"/>
  <c r="CW55" i="3"/>
  <c r="CY55" i="3"/>
  <c r="CZ55" i="3"/>
  <c r="DB55" i="3" s="1"/>
  <c r="DA55" i="3"/>
  <c r="DC55" i="3"/>
  <c r="A56" i="3"/>
  <c r="Y56" i="3"/>
  <c r="CW56" i="3"/>
  <c r="CX56" i="3"/>
  <c r="CY56" i="3"/>
  <c r="CZ56" i="3"/>
  <c r="DA56" i="3"/>
  <c r="DB56" i="3"/>
  <c r="DC56" i="3"/>
  <c r="A57" i="3"/>
  <c r="Y57" i="3"/>
  <c r="CX57" i="3"/>
  <c r="CY57" i="3"/>
  <c r="CZ57" i="3"/>
  <c r="DA57" i="3"/>
  <c r="DB57" i="3"/>
  <c r="DC57" i="3"/>
  <c r="A58" i="3"/>
  <c r="Y58" i="3"/>
  <c r="CX58" i="3" s="1"/>
  <c r="DF58" i="3" s="1"/>
  <c r="CY58" i="3"/>
  <c r="CZ58" i="3"/>
  <c r="DB58" i="3" s="1"/>
  <c r="DA58" i="3"/>
  <c r="DC58" i="3"/>
  <c r="A59" i="3"/>
  <c r="Y59" i="3"/>
  <c r="CX59" i="3"/>
  <c r="DG59" i="3" s="1"/>
  <c r="CY59" i="3"/>
  <c r="CZ59" i="3"/>
  <c r="DB59" i="3" s="1"/>
  <c r="DA59" i="3"/>
  <c r="DC59" i="3"/>
  <c r="A60" i="3"/>
  <c r="Y60" i="3"/>
  <c r="CX60" i="3"/>
  <c r="CY60" i="3"/>
  <c r="CZ60" i="3"/>
  <c r="DA60" i="3"/>
  <c r="DB60" i="3"/>
  <c r="DC60" i="3"/>
  <c r="A61" i="3"/>
  <c r="Y61" i="3"/>
  <c r="CU61" i="3"/>
  <c r="CY61" i="3"/>
  <c r="CZ61" i="3"/>
  <c r="DB61" i="3" s="1"/>
  <c r="DA61" i="3"/>
  <c r="DC61" i="3"/>
  <c r="A62" i="3"/>
  <c r="Y62" i="3"/>
  <c r="CX62" i="3"/>
  <c r="CY62" i="3"/>
  <c r="CZ62" i="3"/>
  <c r="DA62" i="3"/>
  <c r="DB62" i="3"/>
  <c r="DC62" i="3"/>
  <c r="A63" i="3"/>
  <c r="Y63" i="3"/>
  <c r="CX63" i="3" s="1"/>
  <c r="CW63" i="3"/>
  <c r="CY63" i="3"/>
  <c r="CZ63" i="3"/>
  <c r="DB63" i="3" s="1"/>
  <c r="DA63" i="3"/>
  <c r="DC63" i="3"/>
  <c r="A64" i="3"/>
  <c r="Y64" i="3"/>
  <c r="CW64" i="3"/>
  <c r="CX64" i="3"/>
  <c r="CY64" i="3"/>
  <c r="CZ64" i="3"/>
  <c r="DA64" i="3"/>
  <c r="DB64" i="3"/>
  <c r="DC64" i="3"/>
  <c r="A65" i="3"/>
  <c r="Y65" i="3"/>
  <c r="CX65" i="3" s="1"/>
  <c r="DG65" i="3" s="1"/>
  <c r="CY65" i="3"/>
  <c r="CZ65" i="3"/>
  <c r="DA65" i="3"/>
  <c r="DB65" i="3"/>
  <c r="DC65" i="3"/>
  <c r="A66" i="3"/>
  <c r="Y66" i="3"/>
  <c r="CX66" i="3" s="1"/>
  <c r="CY66" i="3"/>
  <c r="CZ66" i="3"/>
  <c r="DB66" i="3" s="1"/>
  <c r="DA66" i="3"/>
  <c r="DC66" i="3"/>
  <c r="A67" i="3"/>
  <c r="Y67" i="3"/>
  <c r="CU67" i="3"/>
  <c r="CV67" i="3"/>
  <c r="CX67" i="3"/>
  <c r="Q20" i="16" s="1"/>
  <c r="CY67" i="3"/>
  <c r="CZ67" i="3"/>
  <c r="DA67" i="3"/>
  <c r="DB67" i="3"/>
  <c r="DC67" i="3"/>
  <c r="A68" i="3"/>
  <c r="Y68" i="3"/>
  <c r="CX68" i="3" s="1"/>
  <c r="T23" i="16" s="1"/>
  <c r="CY68" i="3"/>
  <c r="CZ68" i="3"/>
  <c r="DB68" i="3" s="1"/>
  <c r="DA68" i="3"/>
  <c r="DC68" i="3"/>
  <c r="A69" i="3"/>
  <c r="Y69" i="3"/>
  <c r="CW69" i="3"/>
  <c r="CX69" i="3"/>
  <c r="CY69" i="3"/>
  <c r="CZ69" i="3"/>
  <c r="DA69" i="3"/>
  <c r="DB69" i="3"/>
  <c r="DC69" i="3"/>
  <c r="A70" i="3"/>
  <c r="Y70" i="3"/>
  <c r="CY70" i="3"/>
  <c r="CZ70" i="3"/>
  <c r="DB70" i="3" s="1"/>
  <c r="DA70" i="3"/>
  <c r="DC70" i="3"/>
  <c r="A71" i="3"/>
  <c r="Y71" i="3"/>
  <c r="CX71" i="3"/>
  <c r="CY71" i="3"/>
  <c r="CZ71" i="3"/>
  <c r="DA71" i="3"/>
  <c r="DB71" i="3"/>
  <c r="DC71" i="3"/>
  <c r="A72" i="3"/>
  <c r="Y72" i="3"/>
  <c r="CX72" i="3"/>
  <c r="CY72" i="3"/>
  <c r="CZ72" i="3"/>
  <c r="DA72" i="3"/>
  <c r="DB72" i="3"/>
  <c r="DC72" i="3"/>
  <c r="A73" i="3"/>
  <c r="Y73" i="3"/>
  <c r="CV73" i="3" s="1"/>
  <c r="CU73" i="3"/>
  <c r="CX73" i="3"/>
  <c r="CY73" i="3"/>
  <c r="CZ73" i="3"/>
  <c r="DA73" i="3"/>
  <c r="DB73" i="3"/>
  <c r="DC73" i="3"/>
  <c r="A74" i="3"/>
  <c r="Y74" i="3"/>
  <c r="CX74" i="3"/>
  <c r="CY74" i="3"/>
  <c r="CZ74" i="3"/>
  <c r="DA74" i="3"/>
  <c r="DB74" i="3"/>
  <c r="DC74" i="3"/>
  <c r="A75" i="3"/>
  <c r="Y75" i="3"/>
  <c r="CX75" i="3" s="1"/>
  <c r="CW75" i="3"/>
  <c r="CY75" i="3"/>
  <c r="CZ75" i="3"/>
  <c r="DB75" i="3" s="1"/>
  <c r="DA75" i="3"/>
  <c r="DC75" i="3"/>
  <c r="A76" i="3"/>
  <c r="Y76" i="3"/>
  <c r="CW76" i="3"/>
  <c r="CX76" i="3"/>
  <c r="DF76" i="3" s="1"/>
  <c r="CY76" i="3"/>
  <c r="CZ76" i="3"/>
  <c r="DA76" i="3"/>
  <c r="DB76" i="3"/>
  <c r="DC76" i="3"/>
  <c r="A77" i="3"/>
  <c r="Y77" i="3"/>
  <c r="CX77" i="3" s="1"/>
  <c r="CW77" i="3"/>
  <c r="CY77" i="3"/>
  <c r="CZ77" i="3"/>
  <c r="DB77" i="3" s="1"/>
  <c r="DA77" i="3"/>
  <c r="DC77" i="3"/>
  <c r="A78" i="3"/>
  <c r="Y78" i="3"/>
  <c r="CX78" i="3"/>
  <c r="DG78" i="3" s="1"/>
  <c r="CY78" i="3"/>
  <c r="CZ78" i="3"/>
  <c r="DB78" i="3" s="1"/>
  <c r="DA78" i="3"/>
  <c r="DC78" i="3"/>
  <c r="A79" i="3"/>
  <c r="Y79" i="3"/>
  <c r="CX79" i="3" s="1"/>
  <c r="CY79" i="3"/>
  <c r="CZ79" i="3"/>
  <c r="DA79" i="3"/>
  <c r="DB79" i="3"/>
  <c r="DC79" i="3"/>
  <c r="A80" i="3"/>
  <c r="Y80" i="3"/>
  <c r="CX80" i="3"/>
  <c r="CY80" i="3"/>
  <c r="CZ80" i="3"/>
  <c r="DA80" i="3"/>
  <c r="DB80" i="3"/>
  <c r="DC80" i="3"/>
  <c r="A81" i="3"/>
  <c r="Y81" i="3"/>
  <c r="CX81" i="3" s="1"/>
  <c r="CY81" i="3"/>
  <c r="CZ81" i="3"/>
  <c r="DB81" i="3" s="1"/>
  <c r="DA81" i="3"/>
  <c r="DC81" i="3"/>
  <c r="A82" i="3"/>
  <c r="Y82" i="3"/>
  <c r="CU82" i="3"/>
  <c r="CV82" i="3"/>
  <c r="CX82" i="3"/>
  <c r="R22" i="16" s="1"/>
  <c r="CY82" i="3"/>
  <c r="CZ82" i="3"/>
  <c r="DA82" i="3"/>
  <c r="DB82" i="3"/>
  <c r="DC82" i="3"/>
  <c r="A83" i="3"/>
  <c r="Y83" i="3"/>
  <c r="CX83" i="3" s="1"/>
  <c r="CY83" i="3"/>
  <c r="CZ83" i="3"/>
  <c r="DA83" i="3"/>
  <c r="DB83" i="3"/>
  <c r="DC83" i="3"/>
  <c r="A84" i="3"/>
  <c r="Y84" i="3"/>
  <c r="CX84" i="3" s="1"/>
  <c r="CW84" i="3"/>
  <c r="CY84" i="3"/>
  <c r="CZ84" i="3"/>
  <c r="DB84" i="3" s="1"/>
  <c r="DA84" i="3"/>
  <c r="DC84" i="3"/>
  <c r="A85" i="3"/>
  <c r="Y85" i="3"/>
  <c r="CW85" i="3"/>
  <c r="CX85" i="3"/>
  <c r="CY85" i="3"/>
  <c r="CZ85" i="3"/>
  <c r="DA85" i="3"/>
  <c r="DB85" i="3"/>
  <c r="DC85" i="3"/>
  <c r="A86" i="3"/>
  <c r="Y86" i="3"/>
  <c r="CX86" i="3" s="1"/>
  <c r="CW86" i="3"/>
  <c r="CY86" i="3"/>
  <c r="CZ86" i="3"/>
  <c r="DB86" i="3" s="1"/>
  <c r="DA86" i="3"/>
  <c r="DC86" i="3"/>
  <c r="A87" i="3"/>
  <c r="Y87" i="3"/>
  <c r="CX87" i="3" s="1"/>
  <c r="DF87" i="3" s="1"/>
  <c r="CY87" i="3"/>
  <c r="CZ87" i="3"/>
  <c r="DB87" i="3" s="1"/>
  <c r="DA87" i="3"/>
  <c r="DC87" i="3"/>
  <c r="A88" i="3"/>
  <c r="Y88" i="3"/>
  <c r="CX88" i="3"/>
  <c r="DF88" i="3" s="1"/>
  <c r="CY88" i="3"/>
  <c r="CZ88" i="3"/>
  <c r="DA88" i="3"/>
  <c r="DB88" i="3"/>
  <c r="DC88" i="3"/>
  <c r="A89" i="3"/>
  <c r="Y89" i="3"/>
  <c r="CX89" i="3"/>
  <c r="CY89" i="3"/>
  <c r="CZ89" i="3"/>
  <c r="DA89" i="3"/>
  <c r="DB89" i="3"/>
  <c r="DC89" i="3"/>
  <c r="A90" i="3"/>
  <c r="Y90" i="3"/>
  <c r="CX90" i="3" s="1"/>
  <c r="DG90" i="3" s="1"/>
  <c r="CY90" i="3"/>
  <c r="CZ90" i="3"/>
  <c r="DB90" i="3" s="1"/>
  <c r="DA90" i="3"/>
  <c r="DC90" i="3"/>
  <c r="A91" i="3"/>
  <c r="Y91" i="3"/>
  <c r="CU91" i="3"/>
  <c r="CV91" i="3"/>
  <c r="CX91" i="3"/>
  <c r="CY91" i="3"/>
  <c r="CZ91" i="3"/>
  <c r="DA91" i="3"/>
  <c r="DB91" i="3"/>
  <c r="DC91" i="3"/>
  <c r="A92" i="3"/>
  <c r="Y92" i="3"/>
  <c r="CX92" i="3" s="1"/>
  <c r="DG92" i="3" s="1"/>
  <c r="CY92" i="3"/>
  <c r="CZ92" i="3"/>
  <c r="DB92" i="3" s="1"/>
  <c r="DA92" i="3"/>
  <c r="DC92" i="3"/>
  <c r="A93" i="3"/>
  <c r="Y93" i="3"/>
  <c r="CW93" i="3" s="1"/>
  <c r="CX93" i="3"/>
  <c r="DF93" i="3" s="1"/>
  <c r="CY93" i="3"/>
  <c r="CZ93" i="3"/>
  <c r="DA93" i="3"/>
  <c r="DB93" i="3"/>
  <c r="DC93" i="3"/>
  <c r="A94" i="3"/>
  <c r="Y94" i="3"/>
  <c r="CX94" i="3" s="1"/>
  <c r="DG94" i="3" s="1"/>
  <c r="CW94" i="3"/>
  <c r="CY94" i="3"/>
  <c r="CZ94" i="3"/>
  <c r="DB94" i="3" s="1"/>
  <c r="DA94" i="3"/>
  <c r="DC94" i="3"/>
  <c r="A95" i="3"/>
  <c r="Y95" i="3"/>
  <c r="CX95" i="3"/>
  <c r="DG95" i="3" s="1"/>
  <c r="CY95" i="3"/>
  <c r="CZ95" i="3"/>
  <c r="DB95" i="3" s="1"/>
  <c r="DA95" i="3"/>
  <c r="DC95" i="3"/>
  <c r="A96" i="3"/>
  <c r="Y96" i="3"/>
  <c r="CX96" i="3"/>
  <c r="DF96" i="3" s="1"/>
  <c r="DJ96" i="3" s="1"/>
  <c r="CY96" i="3"/>
  <c r="CZ96" i="3"/>
  <c r="DA96" i="3"/>
  <c r="DB96" i="3"/>
  <c r="DC96" i="3"/>
  <c r="A97" i="3"/>
  <c r="Y97" i="3"/>
  <c r="CV97" i="3" s="1"/>
  <c r="CU97" i="3"/>
  <c r="CY97" i="3"/>
  <c r="CZ97" i="3"/>
  <c r="DB97" i="3" s="1"/>
  <c r="DA97" i="3"/>
  <c r="DC97" i="3"/>
  <c r="A98" i="3"/>
  <c r="Y98" i="3"/>
  <c r="CX98" i="3"/>
  <c r="CY98" i="3"/>
  <c r="CZ98" i="3"/>
  <c r="DA98" i="3"/>
  <c r="DB98" i="3"/>
  <c r="DC98" i="3"/>
  <c r="A99" i="3"/>
  <c r="Y99" i="3"/>
  <c r="CX99" i="3" s="1"/>
  <c r="CW99" i="3"/>
  <c r="CY99" i="3"/>
  <c r="CZ99" i="3"/>
  <c r="DB99" i="3" s="1"/>
  <c r="DA99" i="3"/>
  <c r="DC99" i="3"/>
  <c r="A100" i="3"/>
  <c r="Y100" i="3"/>
  <c r="CW100" i="3"/>
  <c r="CX100" i="3"/>
  <c r="CY100" i="3"/>
  <c r="CZ100" i="3"/>
  <c r="DA100" i="3"/>
  <c r="DB100" i="3"/>
  <c r="DC100" i="3"/>
  <c r="A101" i="3"/>
  <c r="Y101" i="3"/>
  <c r="CX101" i="3"/>
  <c r="CY101" i="3"/>
  <c r="CZ101" i="3"/>
  <c r="DA101" i="3"/>
  <c r="DB101" i="3"/>
  <c r="DC101" i="3"/>
  <c r="A102" i="3"/>
  <c r="Y102" i="3"/>
  <c r="CX102" i="3" s="1"/>
  <c r="CY102" i="3"/>
  <c r="CZ102" i="3"/>
  <c r="DB102" i="3" s="1"/>
  <c r="DA102" i="3"/>
  <c r="DC102"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6" i="1"/>
  <c r="D26" i="1"/>
  <c r="V26" i="1"/>
  <c r="W26" i="1"/>
  <c r="AC26" i="1"/>
  <c r="AE26" i="1"/>
  <c r="AD26" i="1" s="1"/>
  <c r="CR26" i="1" s="1"/>
  <c r="Q26" i="1" s="1"/>
  <c r="AF26" i="1"/>
  <c r="AG26" i="1"/>
  <c r="CU26" i="1" s="1"/>
  <c r="T26" i="1" s="1"/>
  <c r="AH26" i="1"/>
  <c r="AI26" i="1"/>
  <c r="AJ26" i="1"/>
  <c r="CS26" i="1"/>
  <c r="R26" i="1" s="1"/>
  <c r="CT26" i="1"/>
  <c r="S26" i="1" s="1"/>
  <c r="CV26" i="1"/>
  <c r="U26" i="1" s="1"/>
  <c r="CW26" i="1"/>
  <c r="CX26" i="1"/>
  <c r="FR26" i="1"/>
  <c r="GL26" i="1"/>
  <c r="GO26" i="1"/>
  <c r="GP26" i="1"/>
  <c r="GV26" i="1"/>
  <c r="HC26" i="1"/>
  <c r="GX26" i="1" s="1"/>
  <c r="C27" i="1"/>
  <c r="D27" i="1"/>
  <c r="T27" i="1"/>
  <c r="AC27" i="1"/>
  <c r="CQ27" i="1" s="1"/>
  <c r="P27" i="1" s="1"/>
  <c r="AE27" i="1"/>
  <c r="AF27" i="1"/>
  <c r="AG27" i="1"/>
  <c r="AH27" i="1"/>
  <c r="AI27" i="1"/>
  <c r="CW27" i="1" s="1"/>
  <c r="V27" i="1" s="1"/>
  <c r="AJ27" i="1"/>
  <c r="CU27" i="1"/>
  <c r="CX27" i="1"/>
  <c r="W27" i="1" s="1"/>
  <c r="FR27" i="1"/>
  <c r="GL27" i="1"/>
  <c r="GO27" i="1"/>
  <c r="GP27" i="1"/>
  <c r="GV27" i="1"/>
  <c r="HC27" i="1" s="1"/>
  <c r="GX27" i="1" s="1"/>
  <c r="I28" i="1"/>
  <c r="AC28" i="1"/>
  <c r="AD28" i="1"/>
  <c r="CR28" i="1" s="1"/>
  <c r="AE28" i="1"/>
  <c r="AF28" i="1"/>
  <c r="AG28" i="1"/>
  <c r="AH28" i="1"/>
  <c r="CV28" i="1" s="1"/>
  <c r="AI28" i="1"/>
  <c r="AJ28" i="1"/>
  <c r="CS28" i="1"/>
  <c r="CT28" i="1"/>
  <c r="CU28" i="1"/>
  <c r="CW28" i="1"/>
  <c r="CX28" i="1"/>
  <c r="FR28" i="1"/>
  <c r="GL28" i="1"/>
  <c r="GO28" i="1"/>
  <c r="GP28" i="1"/>
  <c r="GV28" i="1"/>
  <c r="HC28" i="1" s="1"/>
  <c r="I29" i="1"/>
  <c r="AB29" i="1"/>
  <c r="AC29" i="1"/>
  <c r="CQ29" i="1" s="1"/>
  <c r="AE29" i="1"/>
  <c r="AD29" i="1" s="1"/>
  <c r="CR29" i="1" s="1"/>
  <c r="AF29" i="1"/>
  <c r="AG29" i="1"/>
  <c r="CU29" i="1" s="1"/>
  <c r="AH29" i="1"/>
  <c r="AI29" i="1"/>
  <c r="AJ29" i="1"/>
  <c r="CX29" i="1" s="1"/>
  <c r="CS29" i="1"/>
  <c r="CT29" i="1"/>
  <c r="CV29" i="1"/>
  <c r="CW29" i="1"/>
  <c r="FR29" i="1"/>
  <c r="GL29" i="1"/>
  <c r="GO29" i="1"/>
  <c r="GP29" i="1"/>
  <c r="GV29" i="1"/>
  <c r="HC29" i="1"/>
  <c r="I30" i="1"/>
  <c r="T30" i="1" s="1"/>
  <c r="AC30" i="1"/>
  <c r="AE30" i="1"/>
  <c r="AD30" i="1" s="1"/>
  <c r="AF30" i="1"/>
  <c r="CT30" i="1" s="1"/>
  <c r="AG30" i="1"/>
  <c r="AH30" i="1"/>
  <c r="CV30" i="1" s="1"/>
  <c r="AI30" i="1"/>
  <c r="CW30" i="1" s="1"/>
  <c r="AJ30" i="1"/>
  <c r="CX30" i="1" s="1"/>
  <c r="CU30" i="1"/>
  <c r="FR30" i="1"/>
  <c r="GL30" i="1"/>
  <c r="GO30" i="1"/>
  <c r="GP30" i="1"/>
  <c r="GV30" i="1"/>
  <c r="HC30" i="1" s="1"/>
  <c r="I31" i="1"/>
  <c r="AC31" i="1"/>
  <c r="AE31" i="1"/>
  <c r="AD31" i="1" s="1"/>
  <c r="CR31" i="1" s="1"/>
  <c r="AF31" i="1"/>
  <c r="AG31" i="1"/>
  <c r="CU31" i="1" s="1"/>
  <c r="AH31" i="1"/>
  <c r="CV31" i="1" s="1"/>
  <c r="AI31" i="1"/>
  <c r="AJ31" i="1"/>
  <c r="CT31" i="1"/>
  <c r="CW31" i="1"/>
  <c r="CX31" i="1"/>
  <c r="FR31" i="1"/>
  <c r="GL31" i="1"/>
  <c r="GO31" i="1"/>
  <c r="GP31" i="1"/>
  <c r="GV31" i="1"/>
  <c r="HC31" i="1" s="1"/>
  <c r="C33" i="1"/>
  <c r="D33" i="1"/>
  <c r="AC33" i="1"/>
  <c r="AE33" i="1"/>
  <c r="AF33" i="1"/>
  <c r="CT33" i="1" s="1"/>
  <c r="S33" i="1" s="1"/>
  <c r="AG33" i="1"/>
  <c r="AH33" i="1"/>
  <c r="AI33" i="1"/>
  <c r="CW33" i="1" s="1"/>
  <c r="V33" i="1" s="1"/>
  <c r="AJ33" i="1"/>
  <c r="CU33" i="1"/>
  <c r="T33" i="1" s="1"/>
  <c r="CV33" i="1"/>
  <c r="U33" i="1" s="1"/>
  <c r="CX33" i="1"/>
  <c r="W33" i="1" s="1"/>
  <c r="FR33" i="1"/>
  <c r="GL33" i="1"/>
  <c r="GO33" i="1"/>
  <c r="GP33" i="1"/>
  <c r="GV33" i="1"/>
  <c r="GX33" i="1"/>
  <c r="HC33" i="1"/>
  <c r="C34" i="1"/>
  <c r="D34" i="1"/>
  <c r="AC34" i="1"/>
  <c r="AE34" i="1"/>
  <c r="AF34" i="1"/>
  <c r="AG34" i="1"/>
  <c r="CU34" i="1" s="1"/>
  <c r="T34" i="1" s="1"/>
  <c r="AH34" i="1"/>
  <c r="AI34" i="1"/>
  <c r="CW34" i="1" s="1"/>
  <c r="V34" i="1" s="1"/>
  <c r="AJ34" i="1"/>
  <c r="CX34" i="1"/>
  <c r="W34" i="1" s="1"/>
  <c r="FR34" i="1"/>
  <c r="GL34" i="1"/>
  <c r="GO34" i="1"/>
  <c r="GP34" i="1"/>
  <c r="GV34" i="1"/>
  <c r="HC34" i="1" s="1"/>
  <c r="GX34" i="1" s="1"/>
  <c r="I35" i="1"/>
  <c r="V35" i="1" s="1"/>
  <c r="AC35" i="1"/>
  <c r="AE35" i="1"/>
  <c r="AD35" i="1" s="1"/>
  <c r="CR35" i="1" s="1"/>
  <c r="AF35" i="1"/>
  <c r="CT35" i="1" s="1"/>
  <c r="AG35" i="1"/>
  <c r="AH35" i="1"/>
  <c r="CV35" i="1" s="1"/>
  <c r="AI35" i="1"/>
  <c r="AJ35" i="1"/>
  <c r="CX35" i="1" s="1"/>
  <c r="CS35" i="1"/>
  <c r="CU35" i="1"/>
  <c r="CW35" i="1"/>
  <c r="FR35" i="1"/>
  <c r="GL35" i="1"/>
  <c r="GO35" i="1"/>
  <c r="GP35" i="1"/>
  <c r="GV35" i="1"/>
  <c r="HC35" i="1"/>
  <c r="I36" i="1"/>
  <c r="AC36" i="1"/>
  <c r="AE36" i="1"/>
  <c r="AF36" i="1"/>
  <c r="AG36" i="1"/>
  <c r="CU36" i="1" s="1"/>
  <c r="AH36" i="1"/>
  <c r="AI36" i="1"/>
  <c r="CW36" i="1" s="1"/>
  <c r="AJ36" i="1"/>
  <c r="CX36" i="1" s="1"/>
  <c r="CQ36" i="1"/>
  <c r="CT36" i="1"/>
  <c r="CV36" i="1"/>
  <c r="FR36" i="1"/>
  <c r="GL36" i="1"/>
  <c r="GO36" i="1"/>
  <c r="GP36" i="1"/>
  <c r="GV36" i="1"/>
  <c r="HC36" i="1"/>
  <c r="I37" i="1"/>
  <c r="T37" i="1" s="1"/>
  <c r="AC37" i="1"/>
  <c r="AD37" i="1"/>
  <c r="CR37" i="1" s="1"/>
  <c r="AE37" i="1"/>
  <c r="AF37" i="1"/>
  <c r="CT37" i="1" s="1"/>
  <c r="AG37" i="1"/>
  <c r="AH37" i="1"/>
  <c r="CV37" i="1" s="1"/>
  <c r="AI37" i="1"/>
  <c r="CW37" i="1" s="1"/>
  <c r="AJ37" i="1"/>
  <c r="CQ37" i="1"/>
  <c r="CS37" i="1"/>
  <c r="CU37" i="1"/>
  <c r="CX37" i="1"/>
  <c r="FR37" i="1"/>
  <c r="GL37" i="1"/>
  <c r="GO37" i="1"/>
  <c r="GP37" i="1"/>
  <c r="GV37" i="1"/>
  <c r="HC37" i="1" s="1"/>
  <c r="I38" i="1"/>
  <c r="AC38" i="1"/>
  <c r="AE38" i="1"/>
  <c r="AD38" i="1" s="1"/>
  <c r="CR38" i="1" s="1"/>
  <c r="AF38" i="1"/>
  <c r="AG38" i="1"/>
  <c r="CU38" i="1" s="1"/>
  <c r="AH38" i="1"/>
  <c r="CV38" i="1" s="1"/>
  <c r="AI38" i="1"/>
  <c r="AJ38" i="1"/>
  <c r="CT38" i="1"/>
  <c r="CW38" i="1"/>
  <c r="CX38" i="1"/>
  <c r="FR38" i="1"/>
  <c r="GL38" i="1"/>
  <c r="GO38" i="1"/>
  <c r="GP38" i="1"/>
  <c r="GV38" i="1"/>
  <c r="HC38" i="1" s="1"/>
  <c r="C39" i="1"/>
  <c r="D39" i="1"/>
  <c r="U39" i="1"/>
  <c r="AC39" i="1"/>
  <c r="AE39" i="1"/>
  <c r="AF39" i="1"/>
  <c r="CT39" i="1" s="1"/>
  <c r="S39" i="1" s="1"/>
  <c r="AG39" i="1"/>
  <c r="AH39" i="1"/>
  <c r="AI39" i="1"/>
  <c r="CW39" i="1" s="1"/>
  <c r="V39" i="1" s="1"/>
  <c r="AJ39" i="1"/>
  <c r="CU39" i="1"/>
  <c r="T39" i="1" s="1"/>
  <c r="CV39" i="1"/>
  <c r="CX39" i="1"/>
  <c r="W39" i="1" s="1"/>
  <c r="FR39" i="1"/>
  <c r="GL39" i="1"/>
  <c r="GO39" i="1"/>
  <c r="GP39" i="1"/>
  <c r="GV39" i="1"/>
  <c r="GX39" i="1"/>
  <c r="HC39" i="1"/>
  <c r="C40" i="1"/>
  <c r="D40" i="1"/>
  <c r="W40" i="1"/>
  <c r="AC40" i="1"/>
  <c r="AE40" i="1"/>
  <c r="AF40" i="1"/>
  <c r="CT40" i="1" s="1"/>
  <c r="S40" i="1" s="1"/>
  <c r="AG40" i="1"/>
  <c r="CU40" i="1" s="1"/>
  <c r="T40" i="1" s="1"/>
  <c r="AH40" i="1"/>
  <c r="AI40" i="1"/>
  <c r="CW40" i="1" s="1"/>
  <c r="V40" i="1" s="1"/>
  <c r="AJ40" i="1"/>
  <c r="CX40" i="1"/>
  <c r="FR40" i="1"/>
  <c r="GL40" i="1"/>
  <c r="GO40" i="1"/>
  <c r="GP40" i="1"/>
  <c r="GV40" i="1"/>
  <c r="HC40" i="1" s="1"/>
  <c r="GX40" i="1" s="1"/>
  <c r="I41" i="1"/>
  <c r="X41" i="1"/>
  <c r="AC41" i="1"/>
  <c r="AD41" i="1"/>
  <c r="AE41" i="1"/>
  <c r="AF41" i="1"/>
  <c r="CT41" i="1" s="1"/>
  <c r="AG41" i="1"/>
  <c r="AH41" i="1"/>
  <c r="CV41" i="1" s="1"/>
  <c r="AI41" i="1"/>
  <c r="AJ41" i="1"/>
  <c r="CX41" i="1" s="1"/>
  <c r="CR41" i="1"/>
  <c r="CS41" i="1"/>
  <c r="CU41" i="1"/>
  <c r="CW41" i="1"/>
  <c r="CY41" i="1"/>
  <c r="CZ41" i="1"/>
  <c r="Y41" i="1" s="1"/>
  <c r="FR41" i="1"/>
  <c r="GL41" i="1"/>
  <c r="GO41" i="1"/>
  <c r="GP41" i="1"/>
  <c r="GV41" i="1"/>
  <c r="HC41" i="1"/>
  <c r="I42" i="1"/>
  <c r="AB42" i="1"/>
  <c r="AC42" i="1"/>
  <c r="CQ42" i="1" s="1"/>
  <c r="AD42" i="1"/>
  <c r="AE42" i="1"/>
  <c r="CS42" i="1" s="1"/>
  <c r="AF42" i="1"/>
  <c r="AG42" i="1"/>
  <c r="CU42" i="1" s="1"/>
  <c r="AH42" i="1"/>
  <c r="AI42" i="1"/>
  <c r="CW42" i="1" s="1"/>
  <c r="AJ42" i="1"/>
  <c r="CX42" i="1" s="1"/>
  <c r="CR42" i="1"/>
  <c r="CT42" i="1"/>
  <c r="CV42" i="1"/>
  <c r="FR42" i="1"/>
  <c r="GL42" i="1"/>
  <c r="GO42" i="1"/>
  <c r="GP42" i="1"/>
  <c r="GV42" i="1"/>
  <c r="HC42" i="1"/>
  <c r="I43" i="1"/>
  <c r="T43" i="1" s="1"/>
  <c r="Y43" i="1"/>
  <c r="AC43" i="1"/>
  <c r="CQ43" i="1" s="1"/>
  <c r="AD43" i="1"/>
  <c r="CR43" i="1" s="1"/>
  <c r="AE43" i="1"/>
  <c r="AF43" i="1"/>
  <c r="CT43" i="1" s="1"/>
  <c r="AG43" i="1"/>
  <c r="AH43" i="1"/>
  <c r="CV43" i="1" s="1"/>
  <c r="AI43" i="1"/>
  <c r="CW43" i="1" s="1"/>
  <c r="AJ43" i="1"/>
  <c r="CS43" i="1"/>
  <c r="CU43" i="1"/>
  <c r="CX43" i="1"/>
  <c r="CY43" i="1"/>
  <c r="X43" i="1" s="1"/>
  <c r="CZ43" i="1"/>
  <c r="FR43" i="1"/>
  <c r="GL43" i="1"/>
  <c r="GO43" i="1"/>
  <c r="GP43" i="1"/>
  <c r="GV43" i="1"/>
  <c r="HC43" i="1" s="1"/>
  <c r="I44" i="1"/>
  <c r="AC44" i="1"/>
  <c r="AD44" i="1"/>
  <c r="AE44" i="1"/>
  <c r="CS44" i="1" s="1"/>
  <c r="AF44" i="1"/>
  <c r="AG44" i="1"/>
  <c r="CU44" i="1" s="1"/>
  <c r="AH44" i="1"/>
  <c r="CV44" i="1" s="1"/>
  <c r="AI44" i="1"/>
  <c r="AJ44" i="1"/>
  <c r="CR44" i="1"/>
  <c r="CT44" i="1"/>
  <c r="CW44" i="1"/>
  <c r="CX44" i="1"/>
  <c r="FR44" i="1"/>
  <c r="GL44" i="1"/>
  <c r="GO44" i="1"/>
  <c r="GP44" i="1"/>
  <c r="GV44" i="1"/>
  <c r="HC44" i="1" s="1"/>
  <c r="I45" i="1"/>
  <c r="AC45" i="1"/>
  <c r="AD45" i="1"/>
  <c r="CR45" i="1" s="1"/>
  <c r="AE45" i="1"/>
  <c r="AF45" i="1"/>
  <c r="CT45" i="1" s="1"/>
  <c r="AG45" i="1"/>
  <c r="CU45" i="1" s="1"/>
  <c r="AH45" i="1"/>
  <c r="CV45" i="1" s="1"/>
  <c r="AI45" i="1"/>
  <c r="AJ45" i="1"/>
  <c r="CX45" i="1" s="1"/>
  <c r="CQ45" i="1"/>
  <c r="CS45" i="1"/>
  <c r="CW45" i="1"/>
  <c r="CY45" i="1"/>
  <c r="X45" i="1" s="1"/>
  <c r="CZ45" i="1"/>
  <c r="Y45" i="1" s="1"/>
  <c r="FR45" i="1"/>
  <c r="GL45" i="1"/>
  <c r="GO45" i="1"/>
  <c r="GP45" i="1"/>
  <c r="GV45" i="1"/>
  <c r="HC45" i="1"/>
  <c r="I46" i="1"/>
  <c r="AC46" i="1"/>
  <c r="AB46" i="1" s="1"/>
  <c r="AD46" i="1"/>
  <c r="AE46" i="1"/>
  <c r="CS46" i="1" s="1"/>
  <c r="AF46" i="1"/>
  <c r="CT46" i="1" s="1"/>
  <c r="AG46" i="1"/>
  <c r="CU46" i="1" s="1"/>
  <c r="AH46" i="1"/>
  <c r="AI46" i="1"/>
  <c r="CW46" i="1" s="1"/>
  <c r="AJ46" i="1"/>
  <c r="CR46" i="1"/>
  <c r="CV46" i="1"/>
  <c r="CX46" i="1"/>
  <c r="FR46" i="1"/>
  <c r="GL46" i="1"/>
  <c r="GO46" i="1"/>
  <c r="GP46" i="1"/>
  <c r="GV46" i="1"/>
  <c r="HC46" i="1"/>
  <c r="I47" i="1"/>
  <c r="T47" i="1" s="1"/>
  <c r="X47" i="1"/>
  <c r="AC47" i="1"/>
  <c r="CQ47" i="1" s="1"/>
  <c r="AD47" i="1"/>
  <c r="AE47" i="1"/>
  <c r="AF47" i="1"/>
  <c r="CT47" i="1" s="1"/>
  <c r="AG47" i="1"/>
  <c r="AH47" i="1"/>
  <c r="CV47" i="1" s="1"/>
  <c r="AI47" i="1"/>
  <c r="AJ47" i="1"/>
  <c r="CX47" i="1" s="1"/>
  <c r="CS47" i="1"/>
  <c r="CU47" i="1"/>
  <c r="CW47" i="1"/>
  <c r="CY47" i="1"/>
  <c r="CZ47" i="1"/>
  <c r="Y47" i="1" s="1"/>
  <c r="FR47" i="1"/>
  <c r="GL47" i="1"/>
  <c r="GO47" i="1"/>
  <c r="GP47" i="1"/>
  <c r="GV47" i="1"/>
  <c r="HC47" i="1" s="1"/>
  <c r="I48" i="1"/>
  <c r="AC48" i="1"/>
  <c r="AD48" i="1"/>
  <c r="AE48" i="1"/>
  <c r="CS48" i="1" s="1"/>
  <c r="AF48" i="1"/>
  <c r="AG48" i="1"/>
  <c r="CU48" i="1" s="1"/>
  <c r="AH48" i="1"/>
  <c r="AI48" i="1"/>
  <c r="CW48" i="1" s="1"/>
  <c r="AJ48" i="1"/>
  <c r="CR48" i="1"/>
  <c r="CT48" i="1"/>
  <c r="CV48" i="1"/>
  <c r="CX48" i="1"/>
  <c r="FR48" i="1"/>
  <c r="GL48" i="1"/>
  <c r="GO48" i="1"/>
  <c r="GP48" i="1"/>
  <c r="GV48" i="1"/>
  <c r="HC48" i="1" s="1"/>
  <c r="C49" i="1"/>
  <c r="D49" i="1"/>
  <c r="U49" i="1"/>
  <c r="AC49" i="1"/>
  <c r="AE49" i="1"/>
  <c r="AF49" i="1"/>
  <c r="AG49" i="1"/>
  <c r="CU49" i="1" s="1"/>
  <c r="T49" i="1" s="1"/>
  <c r="AH49" i="1"/>
  <c r="AI49" i="1"/>
  <c r="CW49" i="1" s="1"/>
  <c r="V49" i="1" s="1"/>
  <c r="AJ49" i="1"/>
  <c r="CT49" i="1"/>
  <c r="S49" i="1" s="1"/>
  <c r="CV49" i="1"/>
  <c r="CX49" i="1"/>
  <c r="W49" i="1" s="1"/>
  <c r="FR49" i="1"/>
  <c r="GL49" i="1"/>
  <c r="GO49" i="1"/>
  <c r="GP49" i="1"/>
  <c r="GV49" i="1"/>
  <c r="GX49" i="1"/>
  <c r="HC49" i="1"/>
  <c r="C50" i="1"/>
  <c r="D50" i="1"/>
  <c r="W50" i="1"/>
  <c r="AC50" i="1"/>
  <c r="AE50" i="1"/>
  <c r="AF50" i="1"/>
  <c r="AG50" i="1"/>
  <c r="CU50" i="1" s="1"/>
  <c r="T50" i="1" s="1"/>
  <c r="AH50" i="1"/>
  <c r="AI50" i="1"/>
  <c r="CW50" i="1" s="1"/>
  <c r="V50" i="1" s="1"/>
  <c r="AJ50" i="1"/>
  <c r="CX50" i="1"/>
  <c r="FR50" i="1"/>
  <c r="GL50" i="1"/>
  <c r="GO50" i="1"/>
  <c r="GP50" i="1"/>
  <c r="GV50" i="1"/>
  <c r="HC50" i="1" s="1"/>
  <c r="GX50" i="1" s="1"/>
  <c r="I51" i="1"/>
  <c r="R51" i="1" s="1"/>
  <c r="AC51" i="1"/>
  <c r="CQ51" i="1" s="1"/>
  <c r="AD51" i="1"/>
  <c r="CR51" i="1" s="1"/>
  <c r="AE51" i="1"/>
  <c r="AF51" i="1"/>
  <c r="CT51" i="1" s="1"/>
  <c r="AG51" i="1"/>
  <c r="CU51" i="1" s="1"/>
  <c r="AH51" i="1"/>
  <c r="AI51" i="1"/>
  <c r="AJ51" i="1"/>
  <c r="CX51" i="1" s="1"/>
  <c r="CS51" i="1"/>
  <c r="CV51" i="1"/>
  <c r="CW51" i="1"/>
  <c r="CY51" i="1"/>
  <c r="X51" i="1" s="1"/>
  <c r="CZ51" i="1"/>
  <c r="Y51" i="1" s="1"/>
  <c r="FR51" i="1"/>
  <c r="GL51" i="1"/>
  <c r="GO51" i="1"/>
  <c r="GP51" i="1"/>
  <c r="GV51" i="1"/>
  <c r="HC51" i="1"/>
  <c r="I52" i="1"/>
  <c r="AC52" i="1"/>
  <c r="AB52" i="1" s="1"/>
  <c r="AD52" i="1"/>
  <c r="AE52" i="1"/>
  <c r="CS52" i="1" s="1"/>
  <c r="AF52" i="1"/>
  <c r="CT52" i="1" s="1"/>
  <c r="AG52" i="1"/>
  <c r="AH52" i="1"/>
  <c r="AI52" i="1"/>
  <c r="CW52" i="1" s="1"/>
  <c r="AJ52" i="1"/>
  <c r="CR52" i="1"/>
  <c r="CU52" i="1"/>
  <c r="CV52" i="1"/>
  <c r="CX52" i="1"/>
  <c r="FR52" i="1"/>
  <c r="GL52" i="1"/>
  <c r="GO52" i="1"/>
  <c r="GP52" i="1"/>
  <c r="GV52" i="1"/>
  <c r="HC52" i="1"/>
  <c r="I53" i="1"/>
  <c r="X53" i="1"/>
  <c r="AC53" i="1"/>
  <c r="AD53" i="1"/>
  <c r="AE53" i="1"/>
  <c r="CS53" i="1" s="1"/>
  <c r="AF53" i="1"/>
  <c r="AG53" i="1"/>
  <c r="AH53" i="1"/>
  <c r="CV53" i="1" s="1"/>
  <c r="AI53" i="1"/>
  <c r="AJ53" i="1"/>
  <c r="CX53" i="1" s="1"/>
  <c r="CQ53" i="1"/>
  <c r="CT53" i="1"/>
  <c r="CU53" i="1"/>
  <c r="CW53" i="1"/>
  <c r="CY53" i="1"/>
  <c r="CZ53" i="1"/>
  <c r="Y53" i="1" s="1"/>
  <c r="FR53" i="1"/>
  <c r="GL53" i="1"/>
  <c r="GO53" i="1"/>
  <c r="GP53" i="1"/>
  <c r="GV53" i="1"/>
  <c r="HC53" i="1" s="1"/>
  <c r="I54" i="1"/>
  <c r="AC54" i="1"/>
  <c r="AD54" i="1"/>
  <c r="CR54" i="1" s="1"/>
  <c r="AE54" i="1"/>
  <c r="AF54" i="1"/>
  <c r="AG54" i="1"/>
  <c r="CU54" i="1" s="1"/>
  <c r="AH54" i="1"/>
  <c r="AI54" i="1"/>
  <c r="CW54" i="1" s="1"/>
  <c r="AJ54" i="1"/>
  <c r="CS54" i="1"/>
  <c r="CT54" i="1"/>
  <c r="CV54" i="1"/>
  <c r="CX54" i="1"/>
  <c r="FR54" i="1"/>
  <c r="GL54" i="1"/>
  <c r="GO54" i="1"/>
  <c r="GP54" i="1"/>
  <c r="GV54" i="1"/>
  <c r="HC54" i="1" s="1"/>
  <c r="I55" i="1"/>
  <c r="R55" i="1" s="1"/>
  <c r="X55" i="1"/>
  <c r="AC55" i="1"/>
  <c r="AD55" i="1"/>
  <c r="AE55" i="1"/>
  <c r="AF55" i="1"/>
  <c r="CT55" i="1" s="1"/>
  <c r="AG55" i="1"/>
  <c r="AH55" i="1"/>
  <c r="CV55" i="1" s="1"/>
  <c r="AI55" i="1"/>
  <c r="AJ55" i="1"/>
  <c r="CX55" i="1" s="1"/>
  <c r="CR55" i="1"/>
  <c r="CS55" i="1"/>
  <c r="CU55" i="1"/>
  <c r="CW55" i="1"/>
  <c r="CY55" i="1"/>
  <c r="CZ55" i="1"/>
  <c r="Y55" i="1" s="1"/>
  <c r="FR55" i="1"/>
  <c r="GL55" i="1"/>
  <c r="GO55" i="1"/>
  <c r="GP55" i="1"/>
  <c r="GV55" i="1"/>
  <c r="HC55" i="1"/>
  <c r="I56" i="1"/>
  <c r="AC56" i="1"/>
  <c r="AD56" i="1"/>
  <c r="AE56" i="1"/>
  <c r="CS56" i="1" s="1"/>
  <c r="AF56" i="1"/>
  <c r="AB56" i="1" s="1"/>
  <c r="AG56" i="1"/>
  <c r="CU56" i="1" s="1"/>
  <c r="AH56" i="1"/>
  <c r="AI56" i="1"/>
  <c r="CW56" i="1" s="1"/>
  <c r="AJ56" i="1"/>
  <c r="CX56" i="1" s="1"/>
  <c r="CQ56" i="1"/>
  <c r="CR56" i="1"/>
  <c r="CT56" i="1"/>
  <c r="CV56" i="1"/>
  <c r="FR56" i="1"/>
  <c r="GL56" i="1"/>
  <c r="GO56" i="1"/>
  <c r="GP56" i="1"/>
  <c r="GV56" i="1"/>
  <c r="HC56" i="1"/>
  <c r="I57" i="1"/>
  <c r="X57" i="1"/>
  <c r="AC57" i="1"/>
  <c r="CQ57" i="1" s="1"/>
  <c r="AD57" i="1"/>
  <c r="CR57" i="1" s="1"/>
  <c r="AE57" i="1"/>
  <c r="AF57" i="1"/>
  <c r="CT57" i="1" s="1"/>
  <c r="AG57" i="1"/>
  <c r="AH57" i="1"/>
  <c r="CV57" i="1" s="1"/>
  <c r="AI57" i="1"/>
  <c r="CW57" i="1" s="1"/>
  <c r="AJ57" i="1"/>
  <c r="CS57" i="1"/>
  <c r="CU57" i="1"/>
  <c r="CX57" i="1"/>
  <c r="CY57" i="1"/>
  <c r="CZ57" i="1"/>
  <c r="Y57" i="1" s="1"/>
  <c r="FR57" i="1"/>
  <c r="GL57" i="1"/>
  <c r="GO57" i="1"/>
  <c r="GP57" i="1"/>
  <c r="GV57" i="1"/>
  <c r="HC57" i="1" s="1"/>
  <c r="I58" i="1"/>
  <c r="AC58" i="1"/>
  <c r="AD58" i="1"/>
  <c r="AE58" i="1"/>
  <c r="CS58" i="1" s="1"/>
  <c r="AF58" i="1"/>
  <c r="AG58" i="1"/>
  <c r="CU58" i="1" s="1"/>
  <c r="AH58" i="1"/>
  <c r="CV58" i="1" s="1"/>
  <c r="AI58" i="1"/>
  <c r="AJ58" i="1"/>
  <c r="CR58" i="1"/>
  <c r="CT58" i="1"/>
  <c r="CW58" i="1"/>
  <c r="CX58" i="1"/>
  <c r="FR58" i="1"/>
  <c r="GL58" i="1"/>
  <c r="GO58" i="1"/>
  <c r="GP58" i="1"/>
  <c r="GV58" i="1"/>
  <c r="HC58" i="1" s="1"/>
  <c r="C59" i="1"/>
  <c r="D59" i="1"/>
  <c r="U59" i="1"/>
  <c r="AC59" i="1"/>
  <c r="AE59" i="1"/>
  <c r="AF59" i="1"/>
  <c r="CT59" i="1" s="1"/>
  <c r="S59" i="1" s="1"/>
  <c r="AG59" i="1"/>
  <c r="CU59" i="1" s="1"/>
  <c r="T59" i="1" s="1"/>
  <c r="AH59" i="1"/>
  <c r="AI59" i="1"/>
  <c r="CW59" i="1" s="1"/>
  <c r="V59" i="1" s="1"/>
  <c r="AJ59" i="1"/>
  <c r="CV59" i="1"/>
  <c r="CX59" i="1"/>
  <c r="W59" i="1" s="1"/>
  <c r="FR59" i="1"/>
  <c r="GL59" i="1"/>
  <c r="GO59" i="1"/>
  <c r="GP59" i="1"/>
  <c r="GV59" i="1"/>
  <c r="GX59" i="1"/>
  <c r="HC59" i="1"/>
  <c r="C60" i="1"/>
  <c r="D60" i="1"/>
  <c r="AC60" i="1"/>
  <c r="AE60" i="1"/>
  <c r="AF60" i="1"/>
  <c r="AG60" i="1"/>
  <c r="CU60" i="1" s="1"/>
  <c r="T60" i="1" s="1"/>
  <c r="AH60" i="1"/>
  <c r="AI60" i="1"/>
  <c r="CW60" i="1" s="1"/>
  <c r="V60" i="1" s="1"/>
  <c r="AJ60" i="1"/>
  <c r="CX60" i="1"/>
  <c r="W60" i="1" s="1"/>
  <c r="FR60" i="1"/>
  <c r="GL60" i="1"/>
  <c r="GO60" i="1"/>
  <c r="GP60" i="1"/>
  <c r="GV60" i="1"/>
  <c r="HC60" i="1" s="1"/>
  <c r="GX60" i="1" s="1"/>
  <c r="I61" i="1"/>
  <c r="V61" i="1" s="1"/>
  <c r="AC61" i="1"/>
  <c r="AD61" i="1"/>
  <c r="CR61" i="1" s="1"/>
  <c r="AE61" i="1"/>
  <c r="AF61" i="1"/>
  <c r="CT61" i="1" s="1"/>
  <c r="AG61" i="1"/>
  <c r="AH61" i="1"/>
  <c r="CV61" i="1" s="1"/>
  <c r="AI61" i="1"/>
  <c r="AJ61" i="1"/>
  <c r="CX61" i="1" s="1"/>
  <c r="CS61" i="1"/>
  <c r="CU61" i="1"/>
  <c r="CW61" i="1"/>
  <c r="FR61" i="1"/>
  <c r="GL61" i="1"/>
  <c r="GO61" i="1"/>
  <c r="GP61" i="1"/>
  <c r="GV61" i="1"/>
  <c r="HC61" i="1"/>
  <c r="I62" i="1"/>
  <c r="AC62" i="1"/>
  <c r="CQ62" i="1" s="1"/>
  <c r="AE62" i="1"/>
  <c r="AF62" i="1"/>
  <c r="AG62" i="1"/>
  <c r="CU62" i="1" s="1"/>
  <c r="AH62" i="1"/>
  <c r="AI62" i="1"/>
  <c r="CW62" i="1" s="1"/>
  <c r="AJ62" i="1"/>
  <c r="CX62" i="1" s="1"/>
  <c r="CT62" i="1"/>
  <c r="CV62" i="1"/>
  <c r="FR62" i="1"/>
  <c r="GL62" i="1"/>
  <c r="GO62" i="1"/>
  <c r="GP62" i="1"/>
  <c r="GV62" i="1"/>
  <c r="HC62" i="1"/>
  <c r="I63" i="1"/>
  <c r="AC63" i="1"/>
  <c r="AD63" i="1"/>
  <c r="AE63" i="1"/>
  <c r="AF63" i="1"/>
  <c r="CT63" i="1" s="1"/>
  <c r="AG63" i="1"/>
  <c r="AH63" i="1"/>
  <c r="CV63" i="1" s="1"/>
  <c r="AI63" i="1"/>
  <c r="CW63" i="1" s="1"/>
  <c r="AJ63" i="1"/>
  <c r="CX63" i="1" s="1"/>
  <c r="CQ63" i="1"/>
  <c r="CS63" i="1"/>
  <c r="CU63" i="1"/>
  <c r="FR63" i="1"/>
  <c r="GL63" i="1"/>
  <c r="GO63" i="1"/>
  <c r="GP63" i="1"/>
  <c r="GV63" i="1"/>
  <c r="HC63" i="1" s="1"/>
  <c r="I64" i="1"/>
  <c r="AC64" i="1"/>
  <c r="AE64" i="1"/>
  <c r="AD64" i="1" s="1"/>
  <c r="CR64" i="1" s="1"/>
  <c r="AF64" i="1"/>
  <c r="AG64" i="1"/>
  <c r="CU64" i="1" s="1"/>
  <c r="AH64" i="1"/>
  <c r="CV64" i="1" s="1"/>
  <c r="AI64" i="1"/>
  <c r="CW64" i="1" s="1"/>
  <c r="AJ64" i="1"/>
  <c r="CT64" i="1"/>
  <c r="CX64" i="1"/>
  <c r="FR64" i="1"/>
  <c r="GL64" i="1"/>
  <c r="GO64" i="1"/>
  <c r="GP64" i="1"/>
  <c r="GV64" i="1"/>
  <c r="HC64" i="1" s="1"/>
  <c r="C65" i="1"/>
  <c r="D65" i="1"/>
  <c r="AC65" i="1"/>
  <c r="AE65" i="1"/>
  <c r="AF65" i="1"/>
  <c r="CT65" i="1" s="1"/>
  <c r="S65" i="1" s="1"/>
  <c r="AG65" i="1"/>
  <c r="CU65" i="1" s="1"/>
  <c r="T65" i="1" s="1"/>
  <c r="AH65" i="1"/>
  <c r="AI65" i="1"/>
  <c r="CW65" i="1" s="1"/>
  <c r="V65" i="1" s="1"/>
  <c r="AJ65" i="1"/>
  <c r="CV65" i="1"/>
  <c r="U65" i="1" s="1"/>
  <c r="CX65" i="1"/>
  <c r="W65" i="1" s="1"/>
  <c r="FR65" i="1"/>
  <c r="GL65" i="1"/>
  <c r="GO65" i="1"/>
  <c r="GP65" i="1"/>
  <c r="GV65" i="1"/>
  <c r="GX65" i="1"/>
  <c r="HC65" i="1"/>
  <c r="C66" i="1"/>
  <c r="D66" i="1"/>
  <c r="W66" i="1"/>
  <c r="AC66" i="1"/>
  <c r="AE66" i="1"/>
  <c r="AF66" i="1"/>
  <c r="AG66" i="1"/>
  <c r="CU66" i="1" s="1"/>
  <c r="T66" i="1" s="1"/>
  <c r="AH66" i="1"/>
  <c r="H139" i="9" s="1"/>
  <c r="AI66" i="1"/>
  <c r="CW66" i="1" s="1"/>
  <c r="V66" i="1" s="1"/>
  <c r="AJ66" i="1"/>
  <c r="CX66" i="1"/>
  <c r="FR66" i="1"/>
  <c r="GL66" i="1"/>
  <c r="GO66" i="1"/>
  <c r="GP66" i="1"/>
  <c r="GV66" i="1"/>
  <c r="HC66" i="1" s="1"/>
  <c r="GX66" i="1" s="1"/>
  <c r="I67" i="1"/>
  <c r="R67" i="1" s="1"/>
  <c r="X67" i="1"/>
  <c r="AC67" i="1"/>
  <c r="AD67" i="1"/>
  <c r="CR67" i="1" s="1"/>
  <c r="AE67" i="1"/>
  <c r="AF67" i="1"/>
  <c r="CT67" i="1" s="1"/>
  <c r="AG67" i="1"/>
  <c r="AH67" i="1"/>
  <c r="CV67" i="1" s="1"/>
  <c r="AI67" i="1"/>
  <c r="AJ67" i="1"/>
  <c r="CX67" i="1" s="1"/>
  <c r="CS67" i="1"/>
  <c r="CU67" i="1"/>
  <c r="CW67" i="1"/>
  <c r="CY67" i="1"/>
  <c r="CZ67" i="1"/>
  <c r="Y67" i="1" s="1"/>
  <c r="FR67" i="1"/>
  <c r="GL67" i="1"/>
  <c r="GO67" i="1"/>
  <c r="GP67" i="1"/>
  <c r="GV67" i="1"/>
  <c r="HC67" i="1"/>
  <c r="I68" i="1"/>
  <c r="AC68" i="1"/>
  <c r="AB68" i="1" s="1"/>
  <c r="AD68" i="1"/>
  <c r="AE68" i="1"/>
  <c r="CS68" i="1" s="1"/>
  <c r="AF68" i="1"/>
  <c r="AG68" i="1"/>
  <c r="CU68" i="1" s="1"/>
  <c r="AH68" i="1"/>
  <c r="AI68" i="1"/>
  <c r="CW68" i="1" s="1"/>
  <c r="AJ68" i="1"/>
  <c r="CR68" i="1"/>
  <c r="CT68" i="1"/>
  <c r="CV68" i="1"/>
  <c r="CX68" i="1"/>
  <c r="FR68" i="1"/>
  <c r="GL68" i="1"/>
  <c r="GO68" i="1"/>
  <c r="GP68" i="1"/>
  <c r="GV68" i="1"/>
  <c r="HC68" i="1"/>
  <c r="I69" i="1"/>
  <c r="T69" i="1" s="1"/>
  <c r="X69" i="1"/>
  <c r="AC69" i="1"/>
  <c r="AD69" i="1"/>
  <c r="AE69" i="1"/>
  <c r="AF69" i="1"/>
  <c r="CT69" i="1" s="1"/>
  <c r="AG69" i="1"/>
  <c r="AH69" i="1"/>
  <c r="CV69" i="1" s="1"/>
  <c r="AI69" i="1"/>
  <c r="AJ69" i="1"/>
  <c r="CX69" i="1" s="1"/>
  <c r="CQ69" i="1"/>
  <c r="CS69" i="1"/>
  <c r="CU69" i="1"/>
  <c r="CW69" i="1"/>
  <c r="CY69" i="1"/>
  <c r="CZ69" i="1"/>
  <c r="Y69" i="1" s="1"/>
  <c r="FR69" i="1"/>
  <c r="GL69" i="1"/>
  <c r="GO69" i="1"/>
  <c r="GP69" i="1"/>
  <c r="GV69" i="1"/>
  <c r="HC69" i="1" s="1"/>
  <c r="I70" i="1"/>
  <c r="AC70" i="1"/>
  <c r="AD70" i="1"/>
  <c r="AE70" i="1"/>
  <c r="CS70" i="1" s="1"/>
  <c r="AF70" i="1"/>
  <c r="AG70" i="1"/>
  <c r="CU70" i="1" s="1"/>
  <c r="AH70" i="1"/>
  <c r="AI70" i="1"/>
  <c r="CW70" i="1" s="1"/>
  <c r="AJ70" i="1"/>
  <c r="CR70" i="1"/>
  <c r="CT70" i="1"/>
  <c r="CV70" i="1"/>
  <c r="CX70" i="1"/>
  <c r="FR70" i="1"/>
  <c r="GL70" i="1"/>
  <c r="GO70" i="1"/>
  <c r="GP70" i="1"/>
  <c r="GV70" i="1"/>
  <c r="HC70" i="1" s="1"/>
  <c r="I71" i="1"/>
  <c r="S71" i="1" s="1"/>
  <c r="X71" i="1"/>
  <c r="AC71" i="1"/>
  <c r="AD71" i="1"/>
  <c r="CR71" i="1" s="1"/>
  <c r="AE71" i="1"/>
  <c r="AF71" i="1"/>
  <c r="AG71" i="1"/>
  <c r="AH71" i="1"/>
  <c r="CV71" i="1" s="1"/>
  <c r="AI71" i="1"/>
  <c r="AJ71" i="1"/>
  <c r="CS71" i="1"/>
  <c r="CT71" i="1"/>
  <c r="CU71" i="1"/>
  <c r="CW71" i="1"/>
  <c r="CX71" i="1"/>
  <c r="CY71" i="1"/>
  <c r="CZ71" i="1"/>
  <c r="Y71" i="1" s="1"/>
  <c r="FR71" i="1"/>
  <c r="GL71" i="1"/>
  <c r="GO71" i="1"/>
  <c r="GP71" i="1"/>
  <c r="GV71" i="1"/>
  <c r="HC71" i="1" s="1"/>
  <c r="I72" i="1"/>
  <c r="AC72" i="1"/>
  <c r="AB72" i="1" s="1"/>
  <c r="AD72" i="1"/>
  <c r="AE72" i="1"/>
  <c r="CS72" i="1" s="1"/>
  <c r="AF72" i="1"/>
  <c r="AG72" i="1"/>
  <c r="CU72" i="1" s="1"/>
  <c r="AH72" i="1"/>
  <c r="AI72" i="1"/>
  <c r="CW72" i="1" s="1"/>
  <c r="AJ72" i="1"/>
  <c r="CR72" i="1"/>
  <c r="CT72" i="1"/>
  <c r="CV72" i="1"/>
  <c r="CX72" i="1"/>
  <c r="FR72" i="1"/>
  <c r="GL72" i="1"/>
  <c r="GO72" i="1"/>
  <c r="GP72" i="1"/>
  <c r="GV72" i="1"/>
  <c r="HC72" i="1" s="1"/>
  <c r="I73" i="1"/>
  <c r="R73" i="1" s="1"/>
  <c r="AC73" i="1"/>
  <c r="AD73" i="1"/>
  <c r="CR73" i="1" s="1"/>
  <c r="AE73" i="1"/>
  <c r="AF73" i="1"/>
  <c r="CT73" i="1" s="1"/>
  <c r="AG73" i="1"/>
  <c r="CU73" i="1" s="1"/>
  <c r="AH73" i="1"/>
  <c r="CV73" i="1" s="1"/>
  <c r="AI73" i="1"/>
  <c r="AJ73" i="1"/>
  <c r="CX73" i="1" s="1"/>
  <c r="CS73" i="1"/>
  <c r="CW73" i="1"/>
  <c r="CY73" i="1"/>
  <c r="X73" i="1" s="1"/>
  <c r="CZ73" i="1"/>
  <c r="Y73" i="1" s="1"/>
  <c r="FR73" i="1"/>
  <c r="GL73" i="1"/>
  <c r="GO73" i="1"/>
  <c r="GP73" i="1"/>
  <c r="GV73" i="1"/>
  <c r="HC73" i="1"/>
  <c r="I74" i="1"/>
  <c r="AC74" i="1"/>
  <c r="CQ74" i="1" s="1"/>
  <c r="AD74" i="1"/>
  <c r="AE74" i="1"/>
  <c r="CS74" i="1" s="1"/>
  <c r="AF74" i="1"/>
  <c r="CT74" i="1" s="1"/>
  <c r="AG74" i="1"/>
  <c r="CU74" i="1" s="1"/>
  <c r="AH74" i="1"/>
  <c r="AI74" i="1"/>
  <c r="CW74" i="1" s="1"/>
  <c r="AJ74" i="1"/>
  <c r="CR74" i="1"/>
  <c r="CV74" i="1"/>
  <c r="CX74" i="1"/>
  <c r="FR74" i="1"/>
  <c r="GL74" i="1"/>
  <c r="GO74" i="1"/>
  <c r="GP74" i="1"/>
  <c r="GV74" i="1"/>
  <c r="HC74" i="1"/>
  <c r="C75" i="1"/>
  <c r="D75" i="1"/>
  <c r="AC75" i="1"/>
  <c r="AB75" i="1" s="1"/>
  <c r="AE75" i="1"/>
  <c r="AD75" i="1" s="1"/>
  <c r="CR75" i="1" s="1"/>
  <c r="Q75" i="1" s="1"/>
  <c r="AF75" i="1"/>
  <c r="AG75" i="1"/>
  <c r="CU75" i="1" s="1"/>
  <c r="T75" i="1" s="1"/>
  <c r="AH75" i="1"/>
  <c r="AI75" i="1"/>
  <c r="CW75" i="1" s="1"/>
  <c r="V75" i="1" s="1"/>
  <c r="AJ75" i="1"/>
  <c r="CT75" i="1"/>
  <c r="S75" i="1" s="1"/>
  <c r="CV75" i="1"/>
  <c r="U75" i="1" s="1"/>
  <c r="CX75" i="1"/>
  <c r="W75" i="1" s="1"/>
  <c r="FR75" i="1"/>
  <c r="GL75" i="1"/>
  <c r="GO75" i="1"/>
  <c r="GP75" i="1"/>
  <c r="GV75" i="1"/>
  <c r="HC75" i="1" s="1"/>
  <c r="GX75" i="1" s="1"/>
  <c r="C76" i="1"/>
  <c r="D76" i="1"/>
  <c r="W76" i="1"/>
  <c r="AC76" i="1"/>
  <c r="AE76" i="1"/>
  <c r="AF76" i="1"/>
  <c r="AG76" i="1"/>
  <c r="CU76" i="1" s="1"/>
  <c r="T76" i="1" s="1"/>
  <c r="AH76" i="1"/>
  <c r="AI76" i="1"/>
  <c r="CW76" i="1" s="1"/>
  <c r="V76" i="1" s="1"/>
  <c r="AJ76" i="1"/>
  <c r="CX76" i="1"/>
  <c r="FR76" i="1"/>
  <c r="GL76" i="1"/>
  <c r="GO76" i="1"/>
  <c r="GP76" i="1"/>
  <c r="GV76" i="1"/>
  <c r="GX76" i="1"/>
  <c r="HC76" i="1"/>
  <c r="I77" i="1"/>
  <c r="T77" i="1" s="1"/>
  <c r="AC77" i="1"/>
  <c r="CQ77" i="1" s="1"/>
  <c r="AD77" i="1"/>
  <c r="AE77" i="1"/>
  <c r="AF77" i="1"/>
  <c r="CT77" i="1" s="1"/>
  <c r="AG77" i="1"/>
  <c r="AH77" i="1"/>
  <c r="CV77" i="1" s="1"/>
  <c r="AI77" i="1"/>
  <c r="AJ77" i="1"/>
  <c r="CX77" i="1" s="1"/>
  <c r="CS77" i="1"/>
  <c r="CU77" i="1"/>
  <c r="CW77" i="1"/>
  <c r="FR77" i="1"/>
  <c r="GL77" i="1"/>
  <c r="GO77" i="1"/>
  <c r="GP77" i="1"/>
  <c r="GV77" i="1"/>
  <c r="HC77" i="1" s="1"/>
  <c r="I78" i="1"/>
  <c r="AC78" i="1"/>
  <c r="AE78" i="1"/>
  <c r="CS78" i="1" s="1"/>
  <c r="AF78" i="1"/>
  <c r="AG78" i="1"/>
  <c r="CU78" i="1" s="1"/>
  <c r="AH78" i="1"/>
  <c r="AI78" i="1"/>
  <c r="CW78" i="1" s="1"/>
  <c r="AJ78" i="1"/>
  <c r="CT78" i="1"/>
  <c r="CV78" i="1"/>
  <c r="CX78" i="1"/>
  <c r="FR78" i="1"/>
  <c r="GL78" i="1"/>
  <c r="GO78" i="1"/>
  <c r="GP78" i="1"/>
  <c r="GV78" i="1"/>
  <c r="HC78" i="1" s="1"/>
  <c r="I79" i="1"/>
  <c r="T79" i="1" s="1"/>
  <c r="AC79" i="1"/>
  <c r="AD79" i="1"/>
  <c r="CR79" i="1" s="1"/>
  <c r="AE79" i="1"/>
  <c r="AF79" i="1"/>
  <c r="CT79" i="1" s="1"/>
  <c r="AG79" i="1"/>
  <c r="AH79" i="1"/>
  <c r="CV79" i="1" s="1"/>
  <c r="AI79" i="1"/>
  <c r="AJ79" i="1"/>
  <c r="CX79" i="1" s="1"/>
  <c r="CS79" i="1"/>
  <c r="CU79" i="1"/>
  <c r="CW79" i="1"/>
  <c r="FR79" i="1"/>
  <c r="GL79" i="1"/>
  <c r="GO79" i="1"/>
  <c r="GP79" i="1"/>
  <c r="GV79" i="1"/>
  <c r="HC79" i="1"/>
  <c r="I80" i="1"/>
  <c r="AC80" i="1"/>
  <c r="CQ80" i="1" s="1"/>
  <c r="AE80" i="1"/>
  <c r="AD80" i="1" s="1"/>
  <c r="CR80" i="1" s="1"/>
  <c r="AF80" i="1"/>
  <c r="CT80" i="1" s="1"/>
  <c r="AG80" i="1"/>
  <c r="CU80" i="1" s="1"/>
  <c r="AH80" i="1"/>
  <c r="AI80" i="1"/>
  <c r="CW80" i="1" s="1"/>
  <c r="AJ80" i="1"/>
  <c r="CV80" i="1"/>
  <c r="CX80" i="1"/>
  <c r="FR80" i="1"/>
  <c r="GL80" i="1"/>
  <c r="GO80" i="1"/>
  <c r="GP80" i="1"/>
  <c r="GV80" i="1"/>
  <c r="HC80" i="1"/>
  <c r="B82" i="1"/>
  <c r="B22" i="1" s="1"/>
  <c r="C82" i="1"/>
  <c r="C22" i="1" s="1"/>
  <c r="D82" i="1"/>
  <c r="D22" i="1" s="1"/>
  <c r="F82" i="1"/>
  <c r="F22" i="1" s="1"/>
  <c r="G82" i="1"/>
  <c r="G22" i="1" s="1"/>
  <c r="BD82" i="1"/>
  <c r="BX82" i="1"/>
  <c r="BX22" i="1" s="1"/>
  <c r="CK82" i="1"/>
  <c r="CK22" i="1" s="1"/>
  <c r="CL82" i="1"/>
  <c r="CL22" i="1" s="1"/>
  <c r="CM82" i="1"/>
  <c r="CM22" i="1" s="1"/>
  <c r="ET82" i="1"/>
  <c r="FP82" i="1"/>
  <c r="FP22" i="1" s="1"/>
  <c r="GC82" i="1"/>
  <c r="GC22" i="1" s="1"/>
  <c r="GD82" i="1"/>
  <c r="GD22" i="1" s="1"/>
  <c r="GE82" i="1"/>
  <c r="GE22" i="1" s="1"/>
  <c r="B112" i="1"/>
  <c r="B18" i="1" s="1"/>
  <c r="C112" i="1"/>
  <c r="C18" i="1" s="1"/>
  <c r="D112" i="1"/>
  <c r="D18" i="1" s="1"/>
  <c r="F112" i="1"/>
  <c r="F18" i="1" s="1"/>
  <c r="G112" i="1"/>
  <c r="G18" i="1" s="1"/>
  <c r="F12" i="6"/>
  <c r="G12" i="6"/>
  <c r="CY12" i="6"/>
  <c r="S62" i="1" l="1"/>
  <c r="O22" i="16"/>
  <c r="E22" i="16" s="1"/>
  <c r="G22" i="16" s="1"/>
  <c r="S78" i="1"/>
  <c r="V38" i="16"/>
  <c r="V20" i="14"/>
  <c r="Q42" i="16"/>
  <c r="Q21" i="14"/>
  <c r="DG84" i="3"/>
  <c r="R28" i="16"/>
  <c r="DF69" i="3"/>
  <c r="R27" i="16"/>
  <c r="DF54" i="3"/>
  <c r="Q28" i="16"/>
  <c r="DF36" i="3"/>
  <c r="P28" i="16"/>
  <c r="G38" i="18"/>
  <c r="G39" i="18"/>
  <c r="G36" i="18"/>
  <c r="G37" i="18"/>
  <c r="W56" i="1"/>
  <c r="P27" i="14"/>
  <c r="P37" i="16"/>
  <c r="Q48" i="1"/>
  <c r="P42" i="16"/>
  <c r="P21" i="14"/>
  <c r="P38" i="16"/>
  <c r="P20" i="14"/>
  <c r="DF83" i="3"/>
  <c r="U23" i="16"/>
  <c r="O20" i="16"/>
  <c r="E20" i="16" s="1"/>
  <c r="G20" i="16" s="1"/>
  <c r="G54" i="18"/>
  <c r="G55" i="18"/>
  <c r="U68" i="1"/>
  <c r="R35" i="16"/>
  <c r="R25" i="14"/>
  <c r="P39" i="16"/>
  <c r="O39" i="16" s="1"/>
  <c r="E39" i="16" s="1"/>
  <c r="G39" i="16" s="1"/>
  <c r="P22" i="14"/>
  <c r="O22" i="14" s="1"/>
  <c r="E22" i="14" s="1"/>
  <c r="G22" i="14" s="1"/>
  <c r="T20" i="14"/>
  <c r="T38" i="16"/>
  <c r="U42" i="1"/>
  <c r="P35" i="16"/>
  <c r="P25" i="14"/>
  <c r="DG99" i="3"/>
  <c r="S27" i="16"/>
  <c r="DG86" i="3"/>
  <c r="R30" i="16"/>
  <c r="DF56" i="3"/>
  <c r="Q30" i="16"/>
  <c r="DF38" i="3"/>
  <c r="P30" i="16"/>
  <c r="DG35" i="3"/>
  <c r="R23" i="16"/>
  <c r="R20" i="14"/>
  <c r="R38" i="16"/>
  <c r="GX36" i="1"/>
  <c r="Q20" i="14"/>
  <c r="Q38" i="16"/>
  <c r="DF98" i="3"/>
  <c r="V23" i="16"/>
  <c r="DF85" i="3"/>
  <c r="R29" i="16"/>
  <c r="O29" i="16" s="1"/>
  <c r="E29" i="16" s="1"/>
  <c r="G29" i="16" s="1"/>
  <c r="DG22" i="3"/>
  <c r="Q31" i="16"/>
  <c r="G50" i="18"/>
  <c r="G51" i="18"/>
  <c r="G52" i="18"/>
  <c r="G49" i="18"/>
  <c r="U56" i="1"/>
  <c r="S20" i="14"/>
  <c r="S38" i="16"/>
  <c r="R42" i="16"/>
  <c r="R21" i="14"/>
  <c r="P40" i="16"/>
  <c r="P23" i="14"/>
  <c r="P24" i="14"/>
  <c r="O24" i="14" s="1"/>
  <c r="E24" i="14" s="1"/>
  <c r="G24" i="14" s="1"/>
  <c r="P41" i="16"/>
  <c r="O41" i="16" s="1"/>
  <c r="E41" i="16" s="1"/>
  <c r="G41" i="16" s="1"/>
  <c r="DF21" i="3"/>
  <c r="Q27" i="16"/>
  <c r="G33" i="18"/>
  <c r="G34" i="18"/>
  <c r="Q37" i="16"/>
  <c r="Q27" i="14"/>
  <c r="S72" i="1"/>
  <c r="U20" i="14"/>
  <c r="U38" i="16"/>
  <c r="Q23" i="14"/>
  <c r="Q40" i="16"/>
  <c r="Q35" i="16"/>
  <c r="Q25" i="14"/>
  <c r="E92" i="9"/>
  <c r="P26" i="14"/>
  <c r="O26" i="14" s="1"/>
  <c r="E26" i="14" s="1"/>
  <c r="G26" i="14" s="1"/>
  <c r="P36" i="16"/>
  <c r="O36" i="16" s="1"/>
  <c r="E36" i="16" s="1"/>
  <c r="G36" i="16" s="1"/>
  <c r="DF100" i="3"/>
  <c r="S31" i="16"/>
  <c r="DF9" i="3"/>
  <c r="P27" i="16"/>
  <c r="G29" i="18"/>
  <c r="G30" i="18"/>
  <c r="G41" i="18"/>
  <c r="G42" i="18"/>
  <c r="G43" i="18"/>
  <c r="G44" i="18"/>
  <c r="G46" i="18"/>
  <c r="G47" i="18"/>
  <c r="T73" i="1"/>
  <c r="U79" i="1"/>
  <c r="W73" i="1"/>
  <c r="U80" i="1"/>
  <c r="Q80" i="1"/>
  <c r="U73" i="1"/>
  <c r="GX78" i="1"/>
  <c r="CV66" i="1"/>
  <c r="U66" i="1" s="1"/>
  <c r="W79" i="1"/>
  <c r="V79" i="1"/>
  <c r="S77" i="1"/>
  <c r="CT76" i="1"/>
  <c r="S76" i="1" s="1"/>
  <c r="H155" i="9"/>
  <c r="T156" i="9"/>
  <c r="H156" i="9"/>
  <c r="T152" i="9"/>
  <c r="T155" i="9"/>
  <c r="H152" i="9"/>
  <c r="U78" i="1"/>
  <c r="E158" i="9"/>
  <c r="AD76" i="1"/>
  <c r="H153" i="9" s="1"/>
  <c r="H154" i="9"/>
  <c r="GM154" i="9"/>
  <c r="GX77" i="1"/>
  <c r="T158" i="9"/>
  <c r="H158" i="9"/>
  <c r="W80" i="1"/>
  <c r="P80" i="1"/>
  <c r="GX80" i="1"/>
  <c r="E160" i="9"/>
  <c r="U77" i="1"/>
  <c r="AB79" i="1"/>
  <c r="T160" i="9"/>
  <c r="H160" i="9"/>
  <c r="CV76" i="1"/>
  <c r="U76" i="1" s="1"/>
  <c r="H157" i="9"/>
  <c r="CQ79" i="1"/>
  <c r="P79" i="1" s="1"/>
  <c r="AB77" i="1"/>
  <c r="W77" i="1"/>
  <c r="V77" i="1"/>
  <c r="GX79" i="1"/>
  <c r="Q79" i="1"/>
  <c r="R79" i="1"/>
  <c r="V78" i="1"/>
  <c r="T78" i="1"/>
  <c r="V80" i="1"/>
  <c r="W78" i="1"/>
  <c r="R78" i="1"/>
  <c r="T80" i="1"/>
  <c r="S80" i="1"/>
  <c r="S79" i="1"/>
  <c r="R77" i="1"/>
  <c r="DF95" i="3"/>
  <c r="P77" i="1"/>
  <c r="GX72" i="1"/>
  <c r="T55" i="1"/>
  <c r="V72" i="1"/>
  <c r="GX69" i="1"/>
  <c r="W69" i="1"/>
  <c r="T74" i="1"/>
  <c r="P36" i="1"/>
  <c r="DM76" i="9" s="1"/>
  <c r="Q72" i="1"/>
  <c r="Q68" i="1"/>
  <c r="S69" i="1"/>
  <c r="W68" i="1"/>
  <c r="U72" i="1"/>
  <c r="E144" i="9"/>
  <c r="S70" i="1"/>
  <c r="E142" i="9"/>
  <c r="V56" i="1"/>
  <c r="V54" i="1"/>
  <c r="V52" i="1"/>
  <c r="GX38" i="1"/>
  <c r="Q74" i="1"/>
  <c r="E146" i="9"/>
  <c r="GX71" i="1"/>
  <c r="V68" i="1"/>
  <c r="T72" i="1"/>
  <c r="T71" i="1"/>
  <c r="GX68" i="1"/>
  <c r="E140" i="9"/>
  <c r="T54" i="1"/>
  <c r="DF78" i="3"/>
  <c r="CQ73" i="1"/>
  <c r="P73" i="1" s="1"/>
  <c r="T146" i="9"/>
  <c r="H146" i="9"/>
  <c r="W72" i="1"/>
  <c r="T142" i="9"/>
  <c r="H142" i="9"/>
  <c r="T68" i="1"/>
  <c r="GX67" i="1"/>
  <c r="CT66" i="1"/>
  <c r="S66" i="1" s="1"/>
  <c r="T137" i="9"/>
  <c r="H138" i="9"/>
  <c r="H137" i="9"/>
  <c r="T138" i="9"/>
  <c r="T134" i="9"/>
  <c r="H134" i="9"/>
  <c r="R72" i="1"/>
  <c r="R71" i="1"/>
  <c r="CQ71" i="1"/>
  <c r="P71" i="1" s="1"/>
  <c r="T144" i="9"/>
  <c r="H144" i="9"/>
  <c r="AD66" i="1"/>
  <c r="CR66" i="1" s="1"/>
  <c r="Q66" i="1" s="1"/>
  <c r="GM136" i="9"/>
  <c r="H136" i="9"/>
  <c r="U54" i="1"/>
  <c r="R68" i="1"/>
  <c r="CQ67" i="1"/>
  <c r="H140" i="9"/>
  <c r="T140" i="9"/>
  <c r="AB73" i="1"/>
  <c r="AB71" i="1"/>
  <c r="T70" i="1"/>
  <c r="V67" i="1"/>
  <c r="DF81" i="3"/>
  <c r="DF77" i="3"/>
  <c r="GX74" i="1"/>
  <c r="P74" i="1"/>
  <c r="V74" i="1"/>
  <c r="W71" i="1"/>
  <c r="Q70" i="1"/>
  <c r="R70" i="1"/>
  <c r="GX70" i="1"/>
  <c r="S74" i="1"/>
  <c r="W70" i="1"/>
  <c r="R74" i="1"/>
  <c r="V70" i="1"/>
  <c r="U70" i="1"/>
  <c r="W74" i="1"/>
  <c r="U74" i="1"/>
  <c r="S68" i="1"/>
  <c r="DG77" i="3"/>
  <c r="DF75" i="3"/>
  <c r="S73" i="1"/>
  <c r="GX73" i="1"/>
  <c r="V73" i="1"/>
  <c r="Q73" i="1"/>
  <c r="P69" i="1"/>
  <c r="S67" i="1"/>
  <c r="GX64" i="1"/>
  <c r="V64" i="1"/>
  <c r="V58" i="1"/>
  <c r="R58" i="1"/>
  <c r="T64" i="1"/>
  <c r="V63" i="1"/>
  <c r="CV60" i="1"/>
  <c r="U60" i="1" s="1"/>
  <c r="H125" i="9"/>
  <c r="V57" i="1"/>
  <c r="CT60" i="1"/>
  <c r="S60" i="1" s="1"/>
  <c r="T124" i="9"/>
  <c r="H124" i="9"/>
  <c r="T120" i="9"/>
  <c r="H120" i="9"/>
  <c r="H123" i="9"/>
  <c r="T123" i="9"/>
  <c r="CS60" i="1"/>
  <c r="R60" i="1" s="1"/>
  <c r="GM122" i="9"/>
  <c r="H122" i="9"/>
  <c r="W64" i="1"/>
  <c r="E128" i="9"/>
  <c r="T128" i="9"/>
  <c r="H128" i="9"/>
  <c r="GX62" i="1"/>
  <c r="E126" i="9"/>
  <c r="W51" i="1"/>
  <c r="CQ61" i="1"/>
  <c r="T126" i="9"/>
  <c r="H126" i="9"/>
  <c r="P63" i="1"/>
  <c r="AB61" i="1"/>
  <c r="AD60" i="1"/>
  <c r="AB60" i="1" s="1"/>
  <c r="R61" i="1"/>
  <c r="U61" i="1"/>
  <c r="R63" i="1"/>
  <c r="DG69" i="3"/>
  <c r="S61" i="1"/>
  <c r="T63" i="1"/>
  <c r="GX63" i="1"/>
  <c r="W63" i="1"/>
  <c r="U62" i="1"/>
  <c r="DF66" i="3"/>
  <c r="DJ66" i="3" s="1"/>
  <c r="U64" i="1"/>
  <c r="P62" i="1"/>
  <c r="DG68" i="3"/>
  <c r="W62" i="1"/>
  <c r="DF68" i="3"/>
  <c r="Q64" i="1"/>
  <c r="V62" i="1"/>
  <c r="S64" i="1"/>
  <c r="T62" i="1"/>
  <c r="DG63" i="3"/>
  <c r="DF63" i="3"/>
  <c r="U63" i="1"/>
  <c r="T61" i="1"/>
  <c r="Q61" i="1"/>
  <c r="GX61" i="1"/>
  <c r="S63" i="1"/>
  <c r="W61" i="1"/>
  <c r="GX54" i="1"/>
  <c r="T56" i="1"/>
  <c r="P56" i="1"/>
  <c r="R54" i="1"/>
  <c r="S54" i="1"/>
  <c r="U43" i="1"/>
  <c r="S58" i="1"/>
  <c r="U57" i="1"/>
  <c r="Q54" i="1"/>
  <c r="U58" i="1"/>
  <c r="U53" i="1"/>
  <c r="CV50" i="1"/>
  <c r="U50" i="1" s="1"/>
  <c r="H107" i="9"/>
  <c r="W58" i="1"/>
  <c r="E114" i="9"/>
  <c r="W57" i="1"/>
  <c r="S57" i="1"/>
  <c r="GX56" i="1"/>
  <c r="E112" i="9"/>
  <c r="W54" i="1"/>
  <c r="E110" i="9"/>
  <c r="GX52" i="1"/>
  <c r="E108" i="9"/>
  <c r="CT50" i="1"/>
  <c r="S50" i="1" s="1"/>
  <c r="T105" i="9"/>
  <c r="H105" i="9"/>
  <c r="T106" i="9"/>
  <c r="H106" i="9"/>
  <c r="T102" i="9"/>
  <c r="H102" i="9"/>
  <c r="DG58" i="3"/>
  <c r="DG46" i="3"/>
  <c r="GX53" i="1"/>
  <c r="T53" i="1"/>
  <c r="R53" i="1"/>
  <c r="GX51" i="1"/>
  <c r="V51" i="1"/>
  <c r="S51" i="1"/>
  <c r="GM104" i="9"/>
  <c r="H104" i="9"/>
  <c r="P57" i="1"/>
  <c r="T114" i="9"/>
  <c r="H114" i="9"/>
  <c r="S53" i="1"/>
  <c r="T110" i="9"/>
  <c r="H110" i="9"/>
  <c r="CQ55" i="1"/>
  <c r="P55" i="1" s="1"/>
  <c r="T112" i="9"/>
  <c r="H112" i="9"/>
  <c r="H108" i="9"/>
  <c r="T108" i="9"/>
  <c r="P53" i="1"/>
  <c r="W53" i="1"/>
  <c r="T58" i="1"/>
  <c r="GX55" i="1"/>
  <c r="V55" i="1"/>
  <c r="S55" i="1"/>
  <c r="V53" i="1"/>
  <c r="U52" i="1"/>
  <c r="T51" i="1"/>
  <c r="GX58" i="1"/>
  <c r="Q58" i="1"/>
  <c r="S56" i="1"/>
  <c r="R56" i="1"/>
  <c r="Q56" i="1"/>
  <c r="W52" i="1"/>
  <c r="S52" i="1"/>
  <c r="R52" i="1"/>
  <c r="T52" i="1"/>
  <c r="DG56" i="3"/>
  <c r="Q52" i="1"/>
  <c r="GX57" i="1"/>
  <c r="T57" i="1"/>
  <c r="R57" i="1"/>
  <c r="Q57" i="1"/>
  <c r="Q51" i="1"/>
  <c r="DF48" i="3"/>
  <c r="P51" i="1"/>
  <c r="W45" i="1"/>
  <c r="GX41" i="1"/>
  <c r="V48" i="1"/>
  <c r="R47" i="1"/>
  <c r="GX44" i="1"/>
  <c r="Q44" i="1"/>
  <c r="V42" i="1"/>
  <c r="DF32" i="3"/>
  <c r="V41" i="1"/>
  <c r="T44" i="1"/>
  <c r="R42" i="1"/>
  <c r="W44" i="1"/>
  <c r="U47" i="1"/>
  <c r="V44" i="1"/>
  <c r="R44" i="1"/>
  <c r="S41" i="1"/>
  <c r="DG37" i="3"/>
  <c r="S44" i="1"/>
  <c r="U48" i="1"/>
  <c r="R48" i="1"/>
  <c r="V43" i="1"/>
  <c r="AD40" i="1"/>
  <c r="CR40" i="1" s="1"/>
  <c r="Q40" i="1" s="1"/>
  <c r="GM86" i="9"/>
  <c r="H86" i="9"/>
  <c r="S48" i="1"/>
  <c r="CQ41" i="1"/>
  <c r="P41" i="1" s="1"/>
  <c r="H90" i="9"/>
  <c r="T90" i="9"/>
  <c r="U84" i="9"/>
  <c r="DG84" i="9"/>
  <c r="DG33" i="3"/>
  <c r="S36" i="1"/>
  <c r="W48" i="1"/>
  <c r="E96" i="9"/>
  <c r="GX46" i="1"/>
  <c r="E94" i="9"/>
  <c r="R43" i="1"/>
  <c r="Q43" i="1"/>
  <c r="GX42" i="1"/>
  <c r="E90" i="9"/>
  <c r="CV40" i="1"/>
  <c r="U40" i="1" s="1"/>
  <c r="H89" i="9"/>
  <c r="AB43" i="1"/>
  <c r="T92" i="9"/>
  <c r="H92" i="9"/>
  <c r="T96" i="9"/>
  <c r="H96" i="9"/>
  <c r="T94" i="9"/>
  <c r="H94" i="9"/>
  <c r="T87" i="9"/>
  <c r="H87" i="9"/>
  <c r="T88" i="9"/>
  <c r="H88" i="9"/>
  <c r="T84" i="9"/>
  <c r="H84" i="9"/>
  <c r="AB41" i="1"/>
  <c r="CS40" i="1"/>
  <c r="R40" i="1" s="1"/>
  <c r="T46" i="1"/>
  <c r="P45" i="1"/>
  <c r="W46" i="1"/>
  <c r="R46" i="1"/>
  <c r="S42" i="1"/>
  <c r="U46" i="1"/>
  <c r="T45" i="1"/>
  <c r="W43" i="1"/>
  <c r="S43" i="1"/>
  <c r="V46" i="1"/>
  <c r="GX45" i="1"/>
  <c r="V45" i="1"/>
  <c r="T48" i="1"/>
  <c r="Q46" i="1"/>
  <c r="Q42" i="1"/>
  <c r="P42" i="1"/>
  <c r="U44" i="1"/>
  <c r="W42" i="1"/>
  <c r="GX48" i="1"/>
  <c r="T42" i="1"/>
  <c r="DF41" i="3"/>
  <c r="DG36" i="3"/>
  <c r="S46" i="1"/>
  <c r="T41" i="1"/>
  <c r="V47" i="1"/>
  <c r="S47" i="1"/>
  <c r="R41" i="1"/>
  <c r="GX47" i="1"/>
  <c r="U45" i="1"/>
  <c r="Q41" i="1"/>
  <c r="W41" i="1"/>
  <c r="P47" i="1"/>
  <c r="S45" i="1"/>
  <c r="GX43" i="1"/>
  <c r="W47" i="1"/>
  <c r="R45" i="1"/>
  <c r="Q45" i="1"/>
  <c r="P43" i="1"/>
  <c r="W36" i="1"/>
  <c r="DF19" i="3"/>
  <c r="T36" i="1"/>
  <c r="W38" i="1"/>
  <c r="E78" i="9"/>
  <c r="U35" i="1"/>
  <c r="CT34" i="1"/>
  <c r="S34" i="1" s="1"/>
  <c r="H73" i="9"/>
  <c r="T74" i="9"/>
  <c r="H74" i="9"/>
  <c r="T70" i="9"/>
  <c r="H70" i="9"/>
  <c r="T73" i="9"/>
  <c r="T78" i="9"/>
  <c r="H78" i="9"/>
  <c r="CS34" i="1"/>
  <c r="R34" i="1" s="1"/>
  <c r="H72" i="9"/>
  <c r="GM72" i="9"/>
  <c r="DG20" i="3"/>
  <c r="FU82" i="1"/>
  <c r="FU22" i="1" s="1"/>
  <c r="U36" i="1"/>
  <c r="E76" i="9"/>
  <c r="CQ35" i="1"/>
  <c r="P35" i="1" s="1"/>
  <c r="T76" i="9"/>
  <c r="H76" i="9"/>
  <c r="V36" i="1"/>
  <c r="CV34" i="1"/>
  <c r="U34" i="1" s="1"/>
  <c r="H75" i="9"/>
  <c r="AD34" i="1"/>
  <c r="V37" i="1"/>
  <c r="Q35" i="1"/>
  <c r="DG16" i="3"/>
  <c r="W35" i="1"/>
  <c r="S38" i="1"/>
  <c r="V38" i="1"/>
  <c r="FQ82" i="1"/>
  <c r="EH82" i="1" s="1"/>
  <c r="U38" i="1"/>
  <c r="T38" i="1"/>
  <c r="Q38" i="1"/>
  <c r="U37" i="1"/>
  <c r="S35" i="1"/>
  <c r="W37" i="1"/>
  <c r="S37" i="1"/>
  <c r="T35" i="1"/>
  <c r="GX35" i="1"/>
  <c r="R35" i="1"/>
  <c r="GX37" i="1"/>
  <c r="R37" i="1"/>
  <c r="Q37" i="1"/>
  <c r="P37" i="1"/>
  <c r="CQ30" i="1"/>
  <c r="P30" i="1" s="1"/>
  <c r="T61" i="9"/>
  <c r="H61" i="9"/>
  <c r="CV27" i="1"/>
  <c r="U27" i="1" s="1"/>
  <c r="H58" i="9"/>
  <c r="S31" i="1"/>
  <c r="E61" i="9"/>
  <c r="CT27" i="1"/>
  <c r="S27" i="1" s="1"/>
  <c r="T57" i="9"/>
  <c r="H57" i="9"/>
  <c r="H53" i="9"/>
  <c r="T56" i="9"/>
  <c r="H56" i="9"/>
  <c r="T53" i="9"/>
  <c r="R29" i="1"/>
  <c r="E59" i="9"/>
  <c r="CS27" i="1"/>
  <c r="R27" i="1" s="1"/>
  <c r="H55" i="9"/>
  <c r="GM55" i="9"/>
  <c r="T59" i="9"/>
  <c r="H59" i="9"/>
  <c r="W29" i="1"/>
  <c r="S29" i="1"/>
  <c r="T29" i="1"/>
  <c r="V29" i="1"/>
  <c r="U29" i="1"/>
  <c r="Q29" i="1"/>
  <c r="DF11" i="3"/>
  <c r="GX29" i="1"/>
  <c r="GX31" i="1"/>
  <c r="W31" i="1"/>
  <c r="Q31" i="1"/>
  <c r="V31" i="1"/>
  <c r="U31" i="1"/>
  <c r="DG9" i="3"/>
  <c r="T31" i="1"/>
  <c r="R28" i="1"/>
  <c r="GX30" i="1"/>
  <c r="V30" i="1"/>
  <c r="U30" i="1"/>
  <c r="U28" i="1"/>
  <c r="W28" i="1"/>
  <c r="V28" i="1"/>
  <c r="T28" i="1"/>
  <c r="GX28" i="1"/>
  <c r="S28" i="1"/>
  <c r="Q28" i="1"/>
  <c r="FR82" i="1"/>
  <c r="FY82" i="1" s="1"/>
  <c r="FY22" i="1" s="1"/>
  <c r="BZ82" i="1"/>
  <c r="BZ22" i="1" s="1"/>
  <c r="CD82" i="1"/>
  <c r="AU82" i="1" s="1"/>
  <c r="BY82" i="1"/>
  <c r="FV82" i="1"/>
  <c r="FV22" i="1" s="1"/>
  <c r="ET22" i="1"/>
  <c r="ET112" i="1"/>
  <c r="P95" i="1"/>
  <c r="BD22" i="1"/>
  <c r="F107" i="1"/>
  <c r="CC82" i="1"/>
  <c r="BD112" i="1"/>
  <c r="R69" i="1"/>
  <c r="AB69" i="1"/>
  <c r="CR69" i="1"/>
  <c r="Q69" i="1" s="1"/>
  <c r="CS65" i="1"/>
  <c r="R65" i="1" s="1"/>
  <c r="CZ65" i="1" s="1"/>
  <c r="Y65" i="1" s="1"/>
  <c r="AD65" i="1"/>
  <c r="CR65" i="1" s="1"/>
  <c r="Q65" i="1" s="1"/>
  <c r="AO82" i="1"/>
  <c r="AB80" i="1"/>
  <c r="CQ78" i="1"/>
  <c r="P78" i="1" s="1"/>
  <c r="AD78" i="1"/>
  <c r="CR78" i="1" s="1"/>
  <c r="Q78" i="1" s="1"/>
  <c r="CR77" i="1"/>
  <c r="Q77" i="1" s="1"/>
  <c r="CS76" i="1"/>
  <c r="R76" i="1" s="1"/>
  <c r="AB74" i="1"/>
  <c r="CQ72" i="1"/>
  <c r="P72" i="1" s="1"/>
  <c r="CQ66" i="1"/>
  <c r="P66" i="1" s="1"/>
  <c r="AB65" i="1"/>
  <c r="AD62" i="1"/>
  <c r="CS62" i="1"/>
  <c r="R62" i="1" s="1"/>
  <c r="CY62" i="1" s="1"/>
  <c r="X62" i="1" s="1"/>
  <c r="AB63" i="1"/>
  <c r="CR63" i="1"/>
  <c r="Q63" i="1" s="1"/>
  <c r="CR53" i="1"/>
  <c r="Q53" i="1" s="1"/>
  <c r="AB53" i="1"/>
  <c r="EG82" i="1"/>
  <c r="BC82" i="1"/>
  <c r="CQ76" i="1"/>
  <c r="P76" i="1" s="1"/>
  <c r="CS75" i="1"/>
  <c r="R75" i="1" s="1"/>
  <c r="CY75" i="1" s="1"/>
  <c r="X75" i="1" s="1"/>
  <c r="U71" i="1"/>
  <c r="V69" i="1"/>
  <c r="T67" i="1"/>
  <c r="Q67" i="1"/>
  <c r="CS59" i="1"/>
  <c r="R59" i="1" s="1"/>
  <c r="CZ59" i="1" s="1"/>
  <c r="Y59" i="1" s="1"/>
  <c r="AD59" i="1"/>
  <c r="CR59" i="1" s="1"/>
  <c r="Q59" i="1" s="1"/>
  <c r="AB58" i="1"/>
  <c r="CQ58" i="1"/>
  <c r="P58" i="1" s="1"/>
  <c r="AB57" i="1"/>
  <c r="CQ54" i="1"/>
  <c r="P54" i="1" s="1"/>
  <c r="AB54" i="1"/>
  <c r="EV82" i="1"/>
  <c r="BB82" i="1"/>
  <c r="V71" i="1"/>
  <c r="U69" i="1"/>
  <c r="P67" i="1"/>
  <c r="CQ60" i="1"/>
  <c r="P60" i="1" s="1"/>
  <c r="AB59" i="1"/>
  <c r="Q55" i="1"/>
  <c r="EU82" i="1"/>
  <c r="CS80" i="1"/>
  <c r="R80" i="1" s="1"/>
  <c r="CQ75" i="1"/>
  <c r="P75" i="1" s="1"/>
  <c r="CP75" i="1" s="1"/>
  <c r="O75" i="1" s="1"/>
  <c r="W67" i="1"/>
  <c r="AB67" i="1"/>
  <c r="AB64" i="1"/>
  <c r="CQ64" i="1"/>
  <c r="P64" i="1" s="1"/>
  <c r="W55" i="1"/>
  <c r="AB55" i="1"/>
  <c r="AB51" i="1"/>
  <c r="Q71" i="1"/>
  <c r="AB70" i="1"/>
  <c r="CQ70" i="1"/>
  <c r="P70" i="1" s="1"/>
  <c r="U67" i="1"/>
  <c r="P61" i="1"/>
  <c r="U55" i="1"/>
  <c r="CQ44" i="1"/>
  <c r="P44" i="1" s="1"/>
  <c r="AB44" i="1"/>
  <c r="CQ65" i="1"/>
  <c r="P65" i="1" s="1"/>
  <c r="CS64" i="1"/>
  <c r="R64" i="1" s="1"/>
  <c r="CQ59" i="1"/>
  <c r="P59" i="1" s="1"/>
  <c r="CQ52" i="1"/>
  <c r="P52" i="1" s="1"/>
  <c r="CS49" i="1"/>
  <c r="R49" i="1" s="1"/>
  <c r="CY49" i="1" s="1"/>
  <c r="X49" i="1" s="1"/>
  <c r="AD49" i="1"/>
  <c r="CR49" i="1" s="1"/>
  <c r="Q49" i="1" s="1"/>
  <c r="AB48" i="1"/>
  <c r="CQ48" i="1"/>
  <c r="P48" i="1" s="1"/>
  <c r="AB47" i="1"/>
  <c r="CR47" i="1"/>
  <c r="Q47" i="1" s="1"/>
  <c r="CQ40" i="1"/>
  <c r="P40" i="1" s="1"/>
  <c r="AD39" i="1"/>
  <c r="CR39" i="1" s="1"/>
  <c r="Q39" i="1" s="1"/>
  <c r="CS39" i="1"/>
  <c r="R39" i="1" s="1"/>
  <c r="CZ39" i="1" s="1"/>
  <c r="Y39" i="1" s="1"/>
  <c r="AB33" i="1"/>
  <c r="AB30" i="1"/>
  <c r="CR30" i="1"/>
  <c r="Q30" i="1" s="1"/>
  <c r="AB45" i="1"/>
  <c r="AB35" i="1"/>
  <c r="CS30" i="1"/>
  <c r="R30" i="1" s="1"/>
  <c r="CQ68" i="1"/>
  <c r="P68" i="1" s="1"/>
  <c r="CS66" i="1"/>
  <c r="R66" i="1" s="1"/>
  <c r="U51" i="1"/>
  <c r="AD50" i="1"/>
  <c r="AB50" i="1" s="1"/>
  <c r="CS50" i="1"/>
  <c r="R50" i="1" s="1"/>
  <c r="U41" i="1"/>
  <c r="CS36" i="1"/>
  <c r="R36" i="1" s="1"/>
  <c r="AD36" i="1"/>
  <c r="CQ50" i="1"/>
  <c r="P50" i="1" s="1"/>
  <c r="AB37" i="1"/>
  <c r="CQ31" i="1"/>
  <c r="P31" i="1" s="1"/>
  <c r="AB31" i="1"/>
  <c r="CQ38" i="1"/>
  <c r="P38" i="1" s="1"/>
  <c r="AB38" i="1"/>
  <c r="AB28" i="1"/>
  <c r="CQ28" i="1"/>
  <c r="P28" i="1" s="1"/>
  <c r="AB34" i="1"/>
  <c r="CQ34" i="1"/>
  <c r="P34" i="1" s="1"/>
  <c r="AD33" i="1"/>
  <c r="CR33" i="1" s="1"/>
  <c r="Q33" i="1" s="1"/>
  <c r="CS33" i="1"/>
  <c r="R33" i="1" s="1"/>
  <c r="CZ33" i="1" s="1"/>
  <c r="Y33" i="1" s="1"/>
  <c r="CY26" i="1"/>
  <c r="X26" i="1" s="1"/>
  <c r="CZ26" i="1"/>
  <c r="Y26" i="1" s="1"/>
  <c r="CQ49" i="1"/>
  <c r="P49" i="1" s="1"/>
  <c r="CQ26" i="1"/>
  <c r="P26" i="1" s="1"/>
  <c r="AB26" i="1"/>
  <c r="DF82" i="3"/>
  <c r="DG82" i="3"/>
  <c r="DF62" i="3"/>
  <c r="DG62" i="3"/>
  <c r="DF90" i="3"/>
  <c r="DF89" i="3"/>
  <c r="DG89" i="3"/>
  <c r="S30" i="1"/>
  <c r="DF102" i="3"/>
  <c r="DJ102" i="3" s="1"/>
  <c r="DF101" i="3"/>
  <c r="DG101" i="3"/>
  <c r="DF80" i="3"/>
  <c r="DG80" i="3"/>
  <c r="DF74" i="3"/>
  <c r="DG74" i="3"/>
  <c r="DF67" i="3"/>
  <c r="DG67" i="3"/>
  <c r="DF79" i="3"/>
  <c r="DG79" i="3"/>
  <c r="DG73" i="3"/>
  <c r="DF73" i="3"/>
  <c r="CQ46" i="1"/>
  <c r="P46" i="1" s="1"/>
  <c r="CQ39" i="1"/>
  <c r="P39" i="1" s="1"/>
  <c r="CS38" i="1"/>
  <c r="R38" i="1" s="1"/>
  <c r="CQ33" i="1"/>
  <c r="P33" i="1" s="1"/>
  <c r="CS31" i="1"/>
  <c r="R31" i="1" s="1"/>
  <c r="DG87" i="3"/>
  <c r="DF86" i="3"/>
  <c r="DF65" i="3"/>
  <c r="DG102" i="3"/>
  <c r="DF72" i="3"/>
  <c r="DJ72" i="3" s="1"/>
  <c r="DG72" i="3"/>
  <c r="W30" i="1"/>
  <c r="P29" i="1"/>
  <c r="AD27" i="1"/>
  <c r="DF99" i="3"/>
  <c r="DF94" i="3"/>
  <c r="DG71" i="3"/>
  <c r="DF71" i="3"/>
  <c r="CX70" i="3"/>
  <c r="R31" i="16" s="1"/>
  <c r="CW70" i="3"/>
  <c r="DF92" i="3"/>
  <c r="DF91" i="3"/>
  <c r="DG91" i="3"/>
  <c r="DF84" i="3"/>
  <c r="DF64" i="3"/>
  <c r="DG64" i="3"/>
  <c r="DF55" i="3"/>
  <c r="DF42" i="3"/>
  <c r="DF18" i="3"/>
  <c r="DJ18" i="3" s="1"/>
  <c r="DF10" i="3"/>
  <c r="DG5" i="3"/>
  <c r="DG100" i="3"/>
  <c r="CX97" i="3"/>
  <c r="Q21" i="16" s="1"/>
  <c r="O21" i="16" s="1"/>
  <c r="E21" i="16" s="1"/>
  <c r="G21" i="16" s="1"/>
  <c r="DG96" i="3"/>
  <c r="DG93" i="3"/>
  <c r="DG83" i="3"/>
  <c r="DF49" i="3"/>
  <c r="DF33" i="3"/>
  <c r="DG23" i="3"/>
  <c r="DF17" i="3"/>
  <c r="DG17" i="3"/>
  <c r="DG13" i="3"/>
  <c r="DG81" i="3"/>
  <c r="DG76" i="3"/>
  <c r="DF59" i="3"/>
  <c r="DG55" i="3"/>
  <c r="DF45" i="3"/>
  <c r="DG42" i="3"/>
  <c r="DF37" i="3"/>
  <c r="DG32" i="3"/>
  <c r="DF22" i="3"/>
  <c r="DG10" i="3"/>
  <c r="DF5" i="3"/>
  <c r="CV61" i="3"/>
  <c r="CX61" i="3"/>
  <c r="DF57" i="3"/>
  <c r="DF53" i="3"/>
  <c r="DF27" i="3"/>
  <c r="DF8" i="3"/>
  <c r="DF60" i="3"/>
  <c r="DG60" i="3"/>
  <c r="DG52" i="3"/>
  <c r="DF40" i="3"/>
  <c r="DF26" i="3"/>
  <c r="DF23" i="3"/>
  <c r="DF13" i="3"/>
  <c r="DF12" i="3"/>
  <c r="DJ12" i="3" s="1"/>
  <c r="DF7" i="3"/>
  <c r="DG7" i="3"/>
  <c r="DG98" i="3"/>
  <c r="DG88" i="3"/>
  <c r="DG85" i="3"/>
  <c r="DG57" i="3"/>
  <c r="DG43" i="3"/>
  <c r="DG39" i="3"/>
  <c r="DF35" i="3"/>
  <c r="DG27" i="3"/>
  <c r="DF20" i="3"/>
  <c r="DF3" i="3"/>
  <c r="DG75" i="3"/>
  <c r="DG66" i="3"/>
  <c r="DG53" i="3"/>
  <c r="DF52" i="3"/>
  <c r="DF51" i="3"/>
  <c r="DF47" i="3"/>
  <c r="DF34" i="3"/>
  <c r="DG34" i="3"/>
  <c r="DG30" i="3"/>
  <c r="DG26" i="3"/>
  <c r="DG19" i="3"/>
  <c r="DF15" i="3"/>
  <c r="DG12" i="3"/>
  <c r="DG8" i="3"/>
  <c r="DF2" i="3"/>
  <c r="DF50" i="3"/>
  <c r="DG50" i="3"/>
  <c r="DF29" i="3"/>
  <c r="DF6" i="3"/>
  <c r="DJ6" i="3" s="1"/>
  <c r="DG54" i="3"/>
  <c r="DG44" i="3"/>
  <c r="DG38" i="3"/>
  <c r="DG31" i="3"/>
  <c r="DG28" i="3"/>
  <c r="CX25" i="3"/>
  <c r="DG24" i="3"/>
  <c r="DG21" i="3"/>
  <c r="DG14" i="3"/>
  <c r="DG4" i="3"/>
  <c r="CX1" i="3"/>
  <c r="CY60" i="1" l="1"/>
  <c r="X60" i="1" s="1"/>
  <c r="U76" i="9"/>
  <c r="K76" i="9" s="1"/>
  <c r="CZ80" i="1"/>
  <c r="Y80" i="1" s="1"/>
  <c r="CZ78" i="1"/>
  <c r="Y78" i="1" s="1"/>
  <c r="CZ60" i="1"/>
  <c r="Y60" i="1" s="1"/>
  <c r="CZ42" i="1"/>
  <c r="Y42" i="1" s="1"/>
  <c r="CY58" i="1"/>
  <c r="X58" i="1" s="1"/>
  <c r="CZ36" i="1"/>
  <c r="Y36" i="1" s="1"/>
  <c r="CY77" i="1"/>
  <c r="X77" i="1" s="1"/>
  <c r="CY34" i="1"/>
  <c r="X34" i="1" s="1"/>
  <c r="CY40" i="1"/>
  <c r="X40" i="1" s="1"/>
  <c r="CZ56" i="1"/>
  <c r="Y56" i="1" s="1"/>
  <c r="O30" i="16"/>
  <c r="E30" i="16" s="1"/>
  <c r="G30" i="16" s="1"/>
  <c r="O27" i="14"/>
  <c r="E27" i="14" s="1"/>
  <c r="G27" i="14" s="1"/>
  <c r="O28" i="16"/>
  <c r="E28" i="16" s="1"/>
  <c r="G28" i="16" s="1"/>
  <c r="CP71" i="1"/>
  <c r="O71" i="1" s="1"/>
  <c r="GM71" i="1" s="1"/>
  <c r="GN71" i="1" s="1"/>
  <c r="CZ72" i="1"/>
  <c r="Y72" i="1" s="1"/>
  <c r="CZ34" i="1"/>
  <c r="Y34" i="1" s="1"/>
  <c r="U74" i="9" s="1"/>
  <c r="O23" i="14"/>
  <c r="E23" i="14" s="1"/>
  <c r="G23" i="14" s="1"/>
  <c r="CY64" i="1"/>
  <c r="X64" i="1" s="1"/>
  <c r="O23" i="16"/>
  <c r="E23" i="16" s="1"/>
  <c r="G23" i="16" s="1"/>
  <c r="G24" i="16" s="1"/>
  <c r="K24" i="16" s="1"/>
  <c r="CP80" i="1"/>
  <c r="O80" i="1" s="1"/>
  <c r="O21" i="14"/>
  <c r="E21" i="14" s="1"/>
  <c r="G21" i="14" s="1"/>
  <c r="CY78" i="1"/>
  <c r="X78" i="1" s="1"/>
  <c r="O31" i="16"/>
  <c r="E31" i="16" s="1"/>
  <c r="G31" i="16" s="1"/>
  <c r="CZ29" i="1"/>
  <c r="Y29" i="1" s="1"/>
  <c r="K55" i="9"/>
  <c r="CZ48" i="1"/>
  <c r="Y48" i="1" s="1"/>
  <c r="I125" i="9"/>
  <c r="H43" i="18"/>
  <c r="J43" i="18" s="1"/>
  <c r="H34" i="18"/>
  <c r="J34" i="18" s="1"/>
  <c r="H52" i="18"/>
  <c r="J52" i="18" s="1"/>
  <c r="H54" i="18"/>
  <c r="I54" i="18" s="1"/>
  <c r="O38" i="16"/>
  <c r="E38" i="16" s="1"/>
  <c r="G38" i="16" s="1"/>
  <c r="O37" i="16"/>
  <c r="E37" i="16" s="1"/>
  <c r="G37" i="16" s="1"/>
  <c r="H38" i="18"/>
  <c r="J38" i="18" s="1"/>
  <c r="U135" i="9"/>
  <c r="DS135" i="9" s="1"/>
  <c r="I139" i="9"/>
  <c r="H42" i="18"/>
  <c r="I42" i="18" s="1"/>
  <c r="H33" i="18"/>
  <c r="J33" i="18" s="1"/>
  <c r="H51" i="18"/>
  <c r="J51" i="18" s="1"/>
  <c r="I58" i="9"/>
  <c r="I107" i="9"/>
  <c r="K122" i="9"/>
  <c r="H41" i="18"/>
  <c r="J41" i="18" s="1"/>
  <c r="H50" i="18"/>
  <c r="I50" i="18" s="1"/>
  <c r="I89" i="9"/>
  <c r="H47" i="18"/>
  <c r="J47" i="18" s="1"/>
  <c r="H30" i="18"/>
  <c r="J30" i="18" s="1"/>
  <c r="O40" i="16"/>
  <c r="E40" i="16" s="1"/>
  <c r="G40" i="16" s="1"/>
  <c r="O42" i="16"/>
  <c r="E42" i="16" s="1"/>
  <c r="G42" i="16" s="1"/>
  <c r="H37" i="18"/>
  <c r="I37" i="18" s="1"/>
  <c r="U124" i="9"/>
  <c r="K124" i="9" s="1"/>
  <c r="I75" i="9"/>
  <c r="U85" i="9"/>
  <c r="DS85" i="9" s="1"/>
  <c r="I157" i="9"/>
  <c r="H46" i="18"/>
  <c r="J46" i="18" s="1"/>
  <c r="H29" i="18"/>
  <c r="J29" i="18" s="1"/>
  <c r="O25" i="14"/>
  <c r="E25" i="14" s="1"/>
  <c r="G25" i="14" s="1"/>
  <c r="H36" i="18"/>
  <c r="J36" i="18" s="1"/>
  <c r="K72" i="9"/>
  <c r="K86" i="9"/>
  <c r="DM112" i="9"/>
  <c r="CZ77" i="1"/>
  <c r="Y77" i="1" s="1"/>
  <c r="H44" i="18"/>
  <c r="J44" i="18" s="1"/>
  <c r="O27" i="16"/>
  <c r="E27" i="16" s="1"/>
  <c r="G27" i="16" s="1"/>
  <c r="H49" i="18"/>
  <c r="J49" i="18" s="1"/>
  <c r="O35" i="16"/>
  <c r="E35" i="16" s="1"/>
  <c r="G35" i="16" s="1"/>
  <c r="H55" i="18"/>
  <c r="J55" i="18" s="1"/>
  <c r="O20" i="14"/>
  <c r="E20" i="14" s="1"/>
  <c r="G20" i="14" s="1"/>
  <c r="H39" i="18"/>
  <c r="J39" i="18" s="1"/>
  <c r="CY79" i="1"/>
  <c r="X79" i="1" s="1"/>
  <c r="CP73" i="1"/>
  <c r="O73" i="1" s="1"/>
  <c r="GM73" i="1" s="1"/>
  <c r="GN73" i="1" s="1"/>
  <c r="CY63" i="1"/>
  <c r="X63" i="1" s="1"/>
  <c r="DS14" i="11"/>
  <c r="DI14" i="11"/>
  <c r="U123" i="9"/>
  <c r="K123" i="9" s="1"/>
  <c r="I190" i="9"/>
  <c r="EY14" i="8"/>
  <c r="EH22" i="1"/>
  <c r="K206" i="9"/>
  <c r="K215" i="9"/>
  <c r="K204" i="9"/>
  <c r="DI14" i="8"/>
  <c r="DS14" i="8"/>
  <c r="AB66" i="1"/>
  <c r="CP53" i="1"/>
  <c r="O53" i="1" s="1"/>
  <c r="GM53" i="1" s="1"/>
  <c r="GN53" i="1" s="1"/>
  <c r="CY48" i="1"/>
  <c r="X48" i="1" s="1"/>
  <c r="CP77" i="1"/>
  <c r="O77" i="1" s="1"/>
  <c r="GM77" i="1" s="1"/>
  <c r="GN77" i="1" s="1"/>
  <c r="CZ79" i="1"/>
  <c r="Y79" i="1" s="1"/>
  <c r="CP79" i="1"/>
  <c r="O79" i="1" s="1"/>
  <c r="CY54" i="1"/>
  <c r="X54" i="1" s="1"/>
  <c r="CP65" i="1"/>
  <c r="O65" i="1" s="1"/>
  <c r="CP63" i="1"/>
  <c r="O63" i="1" s="1"/>
  <c r="CZ58" i="1"/>
  <c r="Y58" i="1" s="1"/>
  <c r="CZ40" i="1"/>
  <c r="Y40" i="1" s="1"/>
  <c r="CZ63" i="1"/>
  <c r="Y63" i="1" s="1"/>
  <c r="CZ68" i="1"/>
  <c r="Y68" i="1" s="1"/>
  <c r="CP56" i="1"/>
  <c r="O56" i="1" s="1"/>
  <c r="T153" i="9"/>
  <c r="HL153" i="9" s="1"/>
  <c r="CR76" i="1"/>
  <c r="Q76" i="1" s="1"/>
  <c r="HX154" i="9"/>
  <c r="I154" i="9"/>
  <c r="DQ156" i="9"/>
  <c r="I156" i="9"/>
  <c r="HN156" i="9"/>
  <c r="HL156" i="9"/>
  <c r="HF156" i="9"/>
  <c r="HB156" i="9"/>
  <c r="GZ156" i="9"/>
  <c r="CY61" i="1"/>
  <c r="X61" i="1" s="1"/>
  <c r="CY74" i="1"/>
  <c r="X74" i="1" s="1"/>
  <c r="DM158" i="9"/>
  <c r="U158" i="9"/>
  <c r="K158" i="9" s="1"/>
  <c r="CY68" i="1"/>
  <c r="X68" i="1" s="1"/>
  <c r="DM160" i="9"/>
  <c r="U160" i="9"/>
  <c r="K160" i="9" s="1"/>
  <c r="U152" i="9"/>
  <c r="DG152" i="9"/>
  <c r="CY76" i="1"/>
  <c r="X76" i="1" s="1"/>
  <c r="K154" i="9"/>
  <c r="CZ54" i="1"/>
  <c r="Y54" i="1" s="1"/>
  <c r="AB76" i="1"/>
  <c r="GJ152" i="9"/>
  <c r="DQ152" i="9"/>
  <c r="HN152" i="9"/>
  <c r="I152" i="9"/>
  <c r="HL152" i="9"/>
  <c r="HF152" i="9"/>
  <c r="GK152" i="9"/>
  <c r="HB152" i="9"/>
  <c r="HX152" i="9"/>
  <c r="HB160" i="9"/>
  <c r="GJ160" i="9"/>
  <c r="GS160" i="9"/>
  <c r="GQ160" i="9"/>
  <c r="GP160" i="9"/>
  <c r="HN160" i="9"/>
  <c r="GN160" i="9"/>
  <c r="HL160" i="9"/>
  <c r="DK160" i="9"/>
  <c r="HF160" i="9"/>
  <c r="I160" i="9"/>
  <c r="GQ158" i="9"/>
  <c r="GP158" i="9"/>
  <c r="HN158" i="9"/>
  <c r="GN158" i="9"/>
  <c r="HL158" i="9"/>
  <c r="DK158" i="9"/>
  <c r="HF158" i="9"/>
  <c r="I158" i="9"/>
  <c r="HB158" i="9"/>
  <c r="GJ158" i="9"/>
  <c r="GS158" i="9"/>
  <c r="HN155" i="9"/>
  <c r="HL155" i="9"/>
  <c r="HF155" i="9"/>
  <c r="HB155" i="9"/>
  <c r="GY155" i="9"/>
  <c r="DQ155" i="9"/>
  <c r="I155" i="9"/>
  <c r="CP78" i="1"/>
  <c r="O78" i="1" s="1"/>
  <c r="CY70" i="1"/>
  <c r="X70" i="1" s="1"/>
  <c r="CP61" i="1"/>
  <c r="O61" i="1" s="1"/>
  <c r="CP69" i="1"/>
  <c r="O69" i="1" s="1"/>
  <c r="GM69" i="1" s="1"/>
  <c r="GN69" i="1" s="1"/>
  <c r="H135" i="9"/>
  <c r="CZ74" i="1"/>
  <c r="Y74" i="1" s="1"/>
  <c r="CZ61" i="1"/>
  <c r="Y61" i="1" s="1"/>
  <c r="CP74" i="1"/>
  <c r="O74" i="1" s="1"/>
  <c r="CY72" i="1"/>
  <c r="X72" i="1" s="1"/>
  <c r="CP47" i="1"/>
  <c r="O47" i="1" s="1"/>
  <c r="GM47" i="1" s="1"/>
  <c r="GN47" i="1" s="1"/>
  <c r="CY66" i="1"/>
  <c r="X66" i="1" s="1"/>
  <c r="K136" i="9"/>
  <c r="GQ144" i="9"/>
  <c r="GP144" i="9"/>
  <c r="HN144" i="9"/>
  <c r="GN144" i="9"/>
  <c r="HL144" i="9"/>
  <c r="DK144" i="9"/>
  <c r="HF144" i="9"/>
  <c r="I144" i="9"/>
  <c r="HB144" i="9"/>
  <c r="GJ144" i="9"/>
  <c r="GS144" i="9"/>
  <c r="CP68" i="1"/>
  <c r="O68" i="1" s="1"/>
  <c r="DM140" i="9"/>
  <c r="U140" i="9"/>
  <c r="K140" i="9" s="1"/>
  <c r="I137" i="9"/>
  <c r="HB137" i="9"/>
  <c r="HN137" i="9"/>
  <c r="HL137" i="9"/>
  <c r="HF137" i="9"/>
  <c r="GY137" i="9"/>
  <c r="DQ137" i="9"/>
  <c r="HB146" i="9"/>
  <c r="GJ146" i="9"/>
  <c r="GS146" i="9"/>
  <c r="GQ146" i="9"/>
  <c r="GP146" i="9"/>
  <c r="HN146" i="9"/>
  <c r="GN146" i="9"/>
  <c r="HL146" i="9"/>
  <c r="DK146" i="9"/>
  <c r="HF146" i="9"/>
  <c r="I146" i="9"/>
  <c r="DM146" i="9"/>
  <c r="U146" i="9"/>
  <c r="K146" i="9" s="1"/>
  <c r="U134" i="9"/>
  <c r="DG134" i="9"/>
  <c r="CP66" i="1"/>
  <c r="O66" i="1" s="1"/>
  <c r="T135" i="9"/>
  <c r="GL135" i="9" s="1"/>
  <c r="CP72" i="1"/>
  <c r="O72" i="1" s="1"/>
  <c r="DM144" i="9"/>
  <c r="U144" i="9"/>
  <c r="K144" i="9" s="1"/>
  <c r="CP70" i="1"/>
  <c r="O70" i="1" s="1"/>
  <c r="DM142" i="9"/>
  <c r="U142" i="9"/>
  <c r="K142" i="9" s="1"/>
  <c r="HX136" i="9"/>
  <c r="I136" i="9"/>
  <c r="HX134" i="9"/>
  <c r="GK134" i="9"/>
  <c r="GJ134" i="9"/>
  <c r="DQ134" i="9"/>
  <c r="HN134" i="9"/>
  <c r="I134" i="9"/>
  <c r="HL134" i="9"/>
  <c r="HF134" i="9"/>
  <c r="HB134" i="9"/>
  <c r="HB138" i="9"/>
  <c r="GZ138" i="9"/>
  <c r="DQ138" i="9"/>
  <c r="I138" i="9"/>
  <c r="HN138" i="9"/>
  <c r="HL138" i="9"/>
  <c r="HF138" i="9"/>
  <c r="HL142" i="9"/>
  <c r="DK142" i="9"/>
  <c r="HF142" i="9"/>
  <c r="I142" i="9"/>
  <c r="HB142" i="9"/>
  <c r="GJ142" i="9"/>
  <c r="GS142" i="9"/>
  <c r="GQ142" i="9"/>
  <c r="GP142" i="9"/>
  <c r="HN142" i="9"/>
  <c r="GN142" i="9"/>
  <c r="GJ140" i="9"/>
  <c r="GS140" i="9"/>
  <c r="GQ140" i="9"/>
  <c r="GP140" i="9"/>
  <c r="DK140" i="9"/>
  <c r="HN140" i="9"/>
  <c r="GN140" i="9"/>
  <c r="HL140" i="9"/>
  <c r="HF140" i="9"/>
  <c r="I140" i="9"/>
  <c r="HB140" i="9"/>
  <c r="CZ70" i="1"/>
  <c r="Y70" i="1" s="1"/>
  <c r="CY65" i="1"/>
  <c r="X65" i="1" s="1"/>
  <c r="U112" i="9"/>
  <c r="K112" i="9" s="1"/>
  <c r="U126" i="9"/>
  <c r="K126" i="9" s="1"/>
  <c r="DM126" i="9"/>
  <c r="GQ126" i="9"/>
  <c r="GP126" i="9"/>
  <c r="HN126" i="9"/>
  <c r="GN126" i="9"/>
  <c r="HL126" i="9"/>
  <c r="DK126" i="9"/>
  <c r="HF126" i="9"/>
  <c r="I126" i="9"/>
  <c r="HB126" i="9"/>
  <c r="GJ126" i="9"/>
  <c r="GS126" i="9"/>
  <c r="DQ120" i="9"/>
  <c r="HN120" i="9"/>
  <c r="I120" i="9"/>
  <c r="HL120" i="9"/>
  <c r="HF120" i="9"/>
  <c r="HB120" i="9"/>
  <c r="HX120" i="9"/>
  <c r="GK120" i="9"/>
  <c r="GJ120" i="9"/>
  <c r="HX122" i="9"/>
  <c r="I122" i="9"/>
  <c r="I124" i="9"/>
  <c r="HN124" i="9"/>
  <c r="HL124" i="9"/>
  <c r="HF124" i="9"/>
  <c r="HB124" i="9"/>
  <c r="GZ124" i="9"/>
  <c r="DQ124" i="9"/>
  <c r="U120" i="9"/>
  <c r="DG120" i="9"/>
  <c r="CP64" i="1"/>
  <c r="O64" i="1" s="1"/>
  <c r="DM128" i="9"/>
  <c r="U128" i="9"/>
  <c r="K128" i="9" s="1"/>
  <c r="HL123" i="9"/>
  <c r="HF123" i="9"/>
  <c r="HB123" i="9"/>
  <c r="GY123" i="9"/>
  <c r="DQ123" i="9"/>
  <c r="HN123" i="9"/>
  <c r="I123" i="9"/>
  <c r="GJ128" i="9"/>
  <c r="GS128" i="9"/>
  <c r="GQ128" i="9"/>
  <c r="GP128" i="9"/>
  <c r="HN128" i="9"/>
  <c r="GN128" i="9"/>
  <c r="HL128" i="9"/>
  <c r="DK128" i="9"/>
  <c r="HF128" i="9"/>
  <c r="I128" i="9"/>
  <c r="HB128" i="9"/>
  <c r="CR60" i="1"/>
  <c r="Q60" i="1" s="1"/>
  <c r="T121" i="9"/>
  <c r="R131" i="9" s="1"/>
  <c r="H121" i="9"/>
  <c r="CZ62" i="1"/>
  <c r="Y62" i="1" s="1"/>
  <c r="CP59" i="1"/>
  <c r="O59" i="1" s="1"/>
  <c r="CP57" i="1"/>
  <c r="O57" i="1" s="1"/>
  <c r="GM57" i="1" s="1"/>
  <c r="GN57" i="1" s="1"/>
  <c r="CP49" i="1"/>
  <c r="O49" i="1" s="1"/>
  <c r="CY44" i="1"/>
  <c r="X44" i="1" s="1"/>
  <c r="CP51" i="1"/>
  <c r="O51" i="1" s="1"/>
  <c r="GM51" i="1" s="1"/>
  <c r="GN51" i="1" s="1"/>
  <c r="CY52" i="1"/>
  <c r="X52" i="1" s="1"/>
  <c r="CZ50" i="1"/>
  <c r="Y50" i="1" s="1"/>
  <c r="K104" i="9"/>
  <c r="CP54" i="1"/>
  <c r="O54" i="1" s="1"/>
  <c r="DM110" i="9"/>
  <c r="U110" i="9"/>
  <c r="K110" i="9" s="1"/>
  <c r="CP42" i="1"/>
  <c r="O42" i="1" s="1"/>
  <c r="HL110" i="9"/>
  <c r="DK110" i="9"/>
  <c r="HF110" i="9"/>
  <c r="I110" i="9"/>
  <c r="HB110" i="9"/>
  <c r="GJ110" i="9"/>
  <c r="GN110" i="9"/>
  <c r="GS110" i="9"/>
  <c r="HN110" i="9"/>
  <c r="GQ110" i="9"/>
  <c r="GP110" i="9"/>
  <c r="HX102" i="9"/>
  <c r="GK102" i="9"/>
  <c r="GJ102" i="9"/>
  <c r="DQ102" i="9"/>
  <c r="HN102" i="9"/>
  <c r="I102" i="9"/>
  <c r="HL102" i="9"/>
  <c r="HB102" i="9"/>
  <c r="HF102" i="9"/>
  <c r="CY31" i="1"/>
  <c r="X31" i="1" s="1"/>
  <c r="CP58" i="1"/>
  <c r="O58" i="1" s="1"/>
  <c r="DM114" i="9"/>
  <c r="U114" i="9"/>
  <c r="K114" i="9" s="1"/>
  <c r="GJ108" i="9"/>
  <c r="GS108" i="9"/>
  <c r="GQ108" i="9"/>
  <c r="GP108" i="9"/>
  <c r="HN108" i="9"/>
  <c r="GN108" i="9"/>
  <c r="HL108" i="9"/>
  <c r="DK108" i="9"/>
  <c r="HB108" i="9"/>
  <c r="HF108" i="9"/>
  <c r="I108" i="9"/>
  <c r="HB106" i="9"/>
  <c r="HF106" i="9"/>
  <c r="GZ106" i="9"/>
  <c r="DQ106" i="9"/>
  <c r="I106" i="9"/>
  <c r="HN106" i="9"/>
  <c r="HL106" i="9"/>
  <c r="HB114" i="9"/>
  <c r="I114" i="9"/>
  <c r="GJ114" i="9"/>
  <c r="GS114" i="9"/>
  <c r="GQ114" i="9"/>
  <c r="GP114" i="9"/>
  <c r="HN114" i="9"/>
  <c r="GN114" i="9"/>
  <c r="HL114" i="9"/>
  <c r="DK114" i="9"/>
  <c r="HF114" i="9"/>
  <c r="I105" i="9"/>
  <c r="HN105" i="9"/>
  <c r="HL105" i="9"/>
  <c r="HF105" i="9"/>
  <c r="HB105" i="9"/>
  <c r="DQ105" i="9"/>
  <c r="GY105" i="9"/>
  <c r="CP52" i="1"/>
  <c r="O52" i="1" s="1"/>
  <c r="DM108" i="9"/>
  <c r="U108" i="9"/>
  <c r="K108" i="9" s="1"/>
  <c r="GQ112" i="9"/>
  <c r="GP112" i="9"/>
  <c r="HN112" i="9"/>
  <c r="GN112" i="9"/>
  <c r="HL112" i="9"/>
  <c r="DK112" i="9"/>
  <c r="HF112" i="9"/>
  <c r="I112" i="9"/>
  <c r="HB112" i="9"/>
  <c r="GJ112" i="9"/>
  <c r="GS112" i="9"/>
  <c r="U102" i="9"/>
  <c r="DG102" i="9"/>
  <c r="I104" i="9"/>
  <c r="HX104" i="9"/>
  <c r="CR50" i="1"/>
  <c r="Q50" i="1" s="1"/>
  <c r="T103" i="9"/>
  <c r="R117" i="9" s="1"/>
  <c r="H103" i="9"/>
  <c r="CY56" i="1"/>
  <c r="X56" i="1" s="1"/>
  <c r="CZ52" i="1"/>
  <c r="Y52" i="1" s="1"/>
  <c r="H85" i="9"/>
  <c r="AB40" i="1"/>
  <c r="EA82" i="1"/>
  <c r="EA22" i="1" s="1"/>
  <c r="CZ35" i="1"/>
  <c r="Y35" i="1" s="1"/>
  <c r="CP41" i="1"/>
  <c r="O41" i="1" s="1"/>
  <c r="GM41" i="1" s="1"/>
  <c r="GN41" i="1" s="1"/>
  <c r="CZ44" i="1"/>
  <c r="Y44" i="1" s="1"/>
  <c r="CY42" i="1"/>
  <c r="X42" i="1" s="1"/>
  <c r="CY38" i="1"/>
  <c r="X38" i="1" s="1"/>
  <c r="CZ28" i="1"/>
  <c r="Y28" i="1" s="1"/>
  <c r="CP43" i="1"/>
  <c r="O43" i="1" s="1"/>
  <c r="GM43" i="1" s="1"/>
  <c r="GN43" i="1" s="1"/>
  <c r="T85" i="9"/>
  <c r="R99" i="9" s="1"/>
  <c r="CP40" i="1"/>
  <c r="O40" i="1" s="1"/>
  <c r="CP44" i="1"/>
  <c r="O44" i="1" s="1"/>
  <c r="DM92" i="9"/>
  <c r="U92" i="9"/>
  <c r="K92" i="9" s="1"/>
  <c r="GQ94" i="9"/>
  <c r="GP94" i="9"/>
  <c r="HN94" i="9"/>
  <c r="GN94" i="9"/>
  <c r="HL94" i="9"/>
  <c r="DK94" i="9"/>
  <c r="HF94" i="9"/>
  <c r="I94" i="9"/>
  <c r="HB94" i="9"/>
  <c r="GS94" i="9"/>
  <c r="GJ94" i="9"/>
  <c r="DM90" i="9"/>
  <c r="U90" i="9"/>
  <c r="K90" i="9" s="1"/>
  <c r="CP33" i="1"/>
  <c r="O33" i="1" s="1"/>
  <c r="HX84" i="9"/>
  <c r="GK84" i="9"/>
  <c r="GJ84" i="9"/>
  <c r="DQ84" i="9"/>
  <c r="HN84" i="9"/>
  <c r="I84" i="9"/>
  <c r="HB84" i="9"/>
  <c r="HL84" i="9"/>
  <c r="HF84" i="9"/>
  <c r="HB96" i="9"/>
  <c r="GJ96" i="9"/>
  <c r="GS96" i="9"/>
  <c r="I96" i="9"/>
  <c r="GQ96" i="9"/>
  <c r="HF96" i="9"/>
  <c r="GP96" i="9"/>
  <c r="HN96" i="9"/>
  <c r="GN96" i="9"/>
  <c r="HL96" i="9"/>
  <c r="DK96" i="9"/>
  <c r="K84" i="9"/>
  <c r="DS84" i="9"/>
  <c r="I86" i="9"/>
  <c r="HX86" i="9"/>
  <c r="HB88" i="9"/>
  <c r="GZ88" i="9"/>
  <c r="DQ88" i="9"/>
  <c r="I88" i="9"/>
  <c r="HN88" i="9"/>
  <c r="HL88" i="9"/>
  <c r="HF88" i="9"/>
  <c r="HL92" i="9"/>
  <c r="DK92" i="9"/>
  <c r="HF92" i="9"/>
  <c r="I92" i="9"/>
  <c r="HB92" i="9"/>
  <c r="HN92" i="9"/>
  <c r="GJ92" i="9"/>
  <c r="GS92" i="9"/>
  <c r="GQ92" i="9"/>
  <c r="GP92" i="9"/>
  <c r="GN92" i="9"/>
  <c r="GJ90" i="9"/>
  <c r="GS90" i="9"/>
  <c r="GQ90" i="9"/>
  <c r="HB90" i="9"/>
  <c r="GP90" i="9"/>
  <c r="HN90" i="9"/>
  <c r="GN90" i="9"/>
  <c r="HL90" i="9"/>
  <c r="DK90" i="9"/>
  <c r="HF90" i="9"/>
  <c r="I90" i="9"/>
  <c r="CP46" i="1"/>
  <c r="O46" i="1" s="1"/>
  <c r="DM94" i="9"/>
  <c r="U94" i="9"/>
  <c r="K94" i="9" s="1"/>
  <c r="CP48" i="1"/>
  <c r="O48" i="1" s="1"/>
  <c r="DM96" i="9"/>
  <c r="U96" i="9"/>
  <c r="K96" i="9" s="1"/>
  <c r="CY35" i="1"/>
  <c r="X35" i="1" s="1"/>
  <c r="I87" i="9"/>
  <c r="HN87" i="9"/>
  <c r="HL87" i="9"/>
  <c r="HF87" i="9"/>
  <c r="HB87" i="9"/>
  <c r="GY87" i="9"/>
  <c r="DQ87" i="9"/>
  <c r="CP45" i="1"/>
  <c r="O45" i="1" s="1"/>
  <c r="GM45" i="1" s="1"/>
  <c r="GN45" i="1" s="1"/>
  <c r="K85" i="9"/>
  <c r="CY46" i="1"/>
  <c r="X46" i="1" s="1"/>
  <c r="CZ46" i="1"/>
  <c r="Y46" i="1" s="1"/>
  <c r="CY39" i="1"/>
  <c r="X39" i="1" s="1"/>
  <c r="EL82" i="1"/>
  <c r="CP39" i="1"/>
  <c r="O39" i="1" s="1"/>
  <c r="GB82" i="1"/>
  <c r="ES82" i="1" s="1"/>
  <c r="AH82" i="1"/>
  <c r="U82" i="1" s="1"/>
  <c r="EB82" i="1"/>
  <c r="DO82" i="1" s="1"/>
  <c r="DM14" i="11" s="1"/>
  <c r="DY82" i="1"/>
  <c r="DY22" i="1" s="1"/>
  <c r="DZ82" i="1"/>
  <c r="DZ22" i="1" s="1"/>
  <c r="AJ82" i="1"/>
  <c r="AJ22" i="1" s="1"/>
  <c r="CP35" i="1"/>
  <c r="O35" i="1" s="1"/>
  <c r="GQ76" i="9"/>
  <c r="GP76" i="9"/>
  <c r="HN76" i="9"/>
  <c r="GN76" i="9"/>
  <c r="HL76" i="9"/>
  <c r="DK76" i="9"/>
  <c r="HF76" i="9"/>
  <c r="I76" i="9"/>
  <c r="HB76" i="9"/>
  <c r="GS76" i="9"/>
  <c r="GJ76" i="9"/>
  <c r="GJ70" i="9"/>
  <c r="DQ70" i="9"/>
  <c r="I70" i="9"/>
  <c r="GK70" i="9"/>
  <c r="HN70" i="9"/>
  <c r="HL70" i="9"/>
  <c r="HF70" i="9"/>
  <c r="HB70" i="9"/>
  <c r="HX70" i="9"/>
  <c r="CY28" i="1"/>
  <c r="X28" i="1" s="1"/>
  <c r="HX72" i="9"/>
  <c r="I72" i="9"/>
  <c r="DQ74" i="9"/>
  <c r="I74" i="9"/>
  <c r="HN74" i="9"/>
  <c r="HL74" i="9"/>
  <c r="HF74" i="9"/>
  <c r="GZ74" i="9"/>
  <c r="HB74" i="9"/>
  <c r="CP38" i="1"/>
  <c r="O38" i="1" s="1"/>
  <c r="DM78" i="9"/>
  <c r="J80" i="9" s="1"/>
  <c r="U78" i="9"/>
  <c r="K78" i="9" s="1"/>
  <c r="U70" i="9"/>
  <c r="DG70" i="9"/>
  <c r="AD82" i="1"/>
  <c r="Q82" i="1" s="1"/>
  <c r="HB78" i="9"/>
  <c r="GJ78" i="9"/>
  <c r="GS78" i="9"/>
  <c r="GQ78" i="9"/>
  <c r="GP78" i="9"/>
  <c r="HF78" i="9"/>
  <c r="HN78" i="9"/>
  <c r="GN78" i="9"/>
  <c r="I78" i="9"/>
  <c r="HL78" i="9"/>
  <c r="DK78" i="9"/>
  <c r="HN73" i="9"/>
  <c r="HL73" i="9"/>
  <c r="HF73" i="9"/>
  <c r="HB73" i="9"/>
  <c r="GY73" i="9"/>
  <c r="DQ73" i="9"/>
  <c r="I73" i="9"/>
  <c r="AG82" i="1"/>
  <c r="AG22" i="1" s="1"/>
  <c r="CY29" i="1"/>
  <c r="X29" i="1" s="1"/>
  <c r="CY27" i="1"/>
  <c r="X27" i="1" s="1"/>
  <c r="CP37" i="1"/>
  <c r="O37" i="1" s="1"/>
  <c r="CR34" i="1"/>
  <c r="Q34" i="1" s="1"/>
  <c r="T71" i="9"/>
  <c r="R81" i="9" s="1"/>
  <c r="H71" i="9"/>
  <c r="FQ22" i="1"/>
  <c r="CJ82" i="1"/>
  <c r="CJ22" i="1" s="1"/>
  <c r="P91" i="1"/>
  <c r="V16" i="2" s="1"/>
  <c r="V18" i="2" s="1"/>
  <c r="EH112" i="1"/>
  <c r="EH18" i="1" s="1"/>
  <c r="CZ37" i="1"/>
  <c r="Y37" i="1" s="1"/>
  <c r="CY37" i="1"/>
  <c r="X37" i="1" s="1"/>
  <c r="DX82" i="1"/>
  <c r="DX22" i="1" s="1"/>
  <c r="CP28" i="1"/>
  <c r="O28" i="1" s="1"/>
  <c r="AI82" i="1"/>
  <c r="V82" i="1" s="1"/>
  <c r="DG53" i="9"/>
  <c r="U53" i="9"/>
  <c r="DQ53" i="9"/>
  <c r="HN53" i="9"/>
  <c r="I53" i="9"/>
  <c r="HL53" i="9"/>
  <c r="HX53" i="9"/>
  <c r="HF53" i="9"/>
  <c r="HB53" i="9"/>
  <c r="GK53" i="9"/>
  <c r="GJ53" i="9"/>
  <c r="CP31" i="1"/>
  <c r="O31" i="1" s="1"/>
  <c r="DM61" i="9"/>
  <c r="U61" i="9"/>
  <c r="K61" i="9" s="1"/>
  <c r="GQ59" i="9"/>
  <c r="GP59" i="9"/>
  <c r="HN59" i="9"/>
  <c r="GN59" i="9"/>
  <c r="GJ59" i="9"/>
  <c r="HL59" i="9"/>
  <c r="DK59" i="9"/>
  <c r="HF59" i="9"/>
  <c r="I59" i="9"/>
  <c r="HB59" i="9"/>
  <c r="GS59" i="9"/>
  <c r="HN56" i="9"/>
  <c r="HL56" i="9"/>
  <c r="HF56" i="9"/>
  <c r="HB56" i="9"/>
  <c r="GY56" i="9"/>
  <c r="DQ56" i="9"/>
  <c r="I56" i="9"/>
  <c r="HX55" i="9"/>
  <c r="I55" i="9"/>
  <c r="CZ27" i="1"/>
  <c r="Y27" i="1" s="1"/>
  <c r="HB61" i="9"/>
  <c r="GJ61" i="9"/>
  <c r="GS61" i="9"/>
  <c r="GQ61" i="9"/>
  <c r="GP61" i="9"/>
  <c r="HL61" i="9"/>
  <c r="HN61" i="9"/>
  <c r="GN61" i="9"/>
  <c r="DK61" i="9"/>
  <c r="HF61" i="9"/>
  <c r="I61" i="9"/>
  <c r="DM59" i="9"/>
  <c r="U59" i="9"/>
  <c r="K59" i="9" s="1"/>
  <c r="DQ57" i="9"/>
  <c r="I57" i="9"/>
  <c r="HN57" i="9"/>
  <c r="HB57" i="9"/>
  <c r="HL57" i="9"/>
  <c r="HF57" i="9"/>
  <c r="GZ57" i="9"/>
  <c r="CG82" i="1"/>
  <c r="CG22" i="1" s="1"/>
  <c r="AQ82" i="1"/>
  <c r="AQ22" i="1" s="1"/>
  <c r="CI82" i="1"/>
  <c r="CI22" i="1" s="1"/>
  <c r="CR27" i="1"/>
  <c r="Q27" i="1" s="1"/>
  <c r="T54" i="9"/>
  <c r="R64" i="9" s="1"/>
  <c r="H54" i="9"/>
  <c r="CD22" i="1"/>
  <c r="EP82" i="1"/>
  <c r="GA82" i="1"/>
  <c r="GA22" i="1" s="1"/>
  <c r="EI82" i="1"/>
  <c r="BY22" i="1"/>
  <c r="FR22" i="1"/>
  <c r="AP82" i="1"/>
  <c r="F91" i="1" s="1"/>
  <c r="G16" i="2" s="1"/>
  <c r="G18" i="2" s="1"/>
  <c r="EM82" i="1"/>
  <c r="DG1" i="3"/>
  <c r="DF1" i="3"/>
  <c r="AB27" i="1"/>
  <c r="CY50" i="1"/>
  <c r="X50" i="1" s="1"/>
  <c r="CZ38" i="1"/>
  <c r="Y38" i="1" s="1"/>
  <c r="CY59" i="1"/>
  <c r="X59" i="1" s="1"/>
  <c r="DG25" i="3"/>
  <c r="DF25" i="3"/>
  <c r="DW82" i="1"/>
  <c r="CY33" i="1"/>
  <c r="X33" i="1" s="1"/>
  <c r="AE82" i="1"/>
  <c r="AB39" i="1"/>
  <c r="AU22" i="1"/>
  <c r="F101" i="1"/>
  <c r="AU112" i="1"/>
  <c r="DF70" i="3"/>
  <c r="DG70" i="3"/>
  <c r="BB22" i="1"/>
  <c r="F95" i="1"/>
  <c r="BB112" i="1"/>
  <c r="BC22" i="1"/>
  <c r="BC112" i="1"/>
  <c r="F98" i="1"/>
  <c r="AO22" i="1"/>
  <c r="AO112" i="1"/>
  <c r="F86" i="1"/>
  <c r="CY80" i="1"/>
  <c r="X80" i="1" s="1"/>
  <c r="GM80" i="1" s="1"/>
  <c r="GN80" i="1" s="1"/>
  <c r="AB78" i="1"/>
  <c r="CP26" i="1"/>
  <c r="O26" i="1" s="1"/>
  <c r="AC82" i="1"/>
  <c r="EV22" i="1"/>
  <c r="P107" i="1"/>
  <c r="EV112" i="1"/>
  <c r="EG22" i="1"/>
  <c r="P86" i="1"/>
  <c r="EG112" i="1"/>
  <c r="BD18" i="1"/>
  <c r="F137" i="1"/>
  <c r="ET18" i="1"/>
  <c r="P125" i="1"/>
  <c r="DG61" i="3"/>
  <c r="DF61" i="3"/>
  <c r="CP29" i="1"/>
  <c r="O29" i="1" s="1"/>
  <c r="DU82" i="1"/>
  <c r="CZ30" i="1"/>
  <c r="Y30" i="1" s="1"/>
  <c r="CY30" i="1"/>
  <c r="X30" i="1" s="1"/>
  <c r="AF82" i="1"/>
  <c r="CZ49" i="1"/>
  <c r="Y49" i="1" s="1"/>
  <c r="AB36" i="1"/>
  <c r="CR36" i="1"/>
  <c r="Q36" i="1" s="1"/>
  <c r="CP36" i="1" s="1"/>
  <c r="O36" i="1" s="1"/>
  <c r="EU22" i="1"/>
  <c r="EU112" i="1"/>
  <c r="P98" i="1"/>
  <c r="CZ76" i="1"/>
  <c r="Y76" i="1" s="1"/>
  <c r="CZ66" i="1"/>
  <c r="Y66" i="1" s="1"/>
  <c r="CC22" i="1"/>
  <c r="AT82" i="1"/>
  <c r="CZ64" i="1"/>
  <c r="Y64" i="1" s="1"/>
  <c r="AB49" i="1"/>
  <c r="CZ75" i="1"/>
  <c r="Y75" i="1" s="1"/>
  <c r="GM75" i="1" s="1"/>
  <c r="GN75" i="1" s="1"/>
  <c r="DG97" i="3"/>
  <c r="DF97" i="3"/>
  <c r="CZ31" i="1"/>
  <c r="Y31" i="1" s="1"/>
  <c r="CY36" i="1"/>
  <c r="X36" i="1" s="1"/>
  <c r="CP30" i="1"/>
  <c r="O30" i="1" s="1"/>
  <c r="CP55" i="1"/>
  <c r="O55" i="1" s="1"/>
  <c r="GM55" i="1" s="1"/>
  <c r="GN55" i="1" s="1"/>
  <c r="CP67" i="1"/>
  <c r="O67" i="1" s="1"/>
  <c r="GM67" i="1" s="1"/>
  <c r="GN67" i="1" s="1"/>
  <c r="AB62" i="1"/>
  <c r="CR62" i="1"/>
  <c r="Q62" i="1" s="1"/>
  <c r="CP62" i="1" s="1"/>
  <c r="O62" i="1" s="1"/>
  <c r="DS124" i="9" l="1"/>
  <c r="GM63" i="1"/>
  <c r="GN63" i="1" s="1"/>
  <c r="K135" i="9"/>
  <c r="DS123" i="9"/>
  <c r="HF153" i="9"/>
  <c r="J37" i="18"/>
  <c r="U73" i="9"/>
  <c r="GM62" i="1"/>
  <c r="GN62" i="1" s="1"/>
  <c r="K180" i="9"/>
  <c r="K74" i="9"/>
  <c r="DS74" i="9"/>
  <c r="U87" i="9"/>
  <c r="GM78" i="1"/>
  <c r="GN78" i="1" s="1"/>
  <c r="K175" i="9"/>
  <c r="DL82" i="1"/>
  <c r="DL14" i="8" s="1"/>
  <c r="I51" i="18"/>
  <c r="J50" i="18"/>
  <c r="GM48" i="1"/>
  <c r="GN48" i="1" s="1"/>
  <c r="HB153" i="9"/>
  <c r="G28" i="14"/>
  <c r="M28" i="14" s="1"/>
  <c r="G30" i="14" s="1"/>
  <c r="IK2" i="1" s="1"/>
  <c r="G32" i="16"/>
  <c r="L32" i="16" s="1"/>
  <c r="G48" i="16" s="1"/>
  <c r="I52" i="18"/>
  <c r="I175" i="9"/>
  <c r="H162" i="9"/>
  <c r="I30" i="18"/>
  <c r="I41" i="18"/>
  <c r="J54" i="18"/>
  <c r="GM40" i="1"/>
  <c r="GN40" i="1" s="1"/>
  <c r="I39" i="18"/>
  <c r="I49" i="18"/>
  <c r="I29" i="18"/>
  <c r="HN153" i="9"/>
  <c r="I38" i="18"/>
  <c r="U88" i="9"/>
  <c r="J42" i="18"/>
  <c r="U153" i="9"/>
  <c r="GM58" i="1"/>
  <c r="GN58" i="1" s="1"/>
  <c r="I55" i="18"/>
  <c r="I46" i="18"/>
  <c r="I47" i="18"/>
  <c r="I34" i="18"/>
  <c r="I43" i="18"/>
  <c r="U71" i="9"/>
  <c r="K71" i="9" s="1"/>
  <c r="U121" i="9"/>
  <c r="S131" i="9" s="1"/>
  <c r="J131" i="9" s="1"/>
  <c r="GL153" i="9"/>
  <c r="G43" i="16"/>
  <c r="M43" i="16" s="1"/>
  <c r="G49" i="16" s="1"/>
  <c r="I44" i="18"/>
  <c r="I36" i="18"/>
  <c r="I33" i="18"/>
  <c r="U54" i="9"/>
  <c r="K54" i="9" s="1"/>
  <c r="U57" i="9"/>
  <c r="K57" i="9" s="1"/>
  <c r="U103" i="9"/>
  <c r="K103" i="9" s="1"/>
  <c r="U106" i="9"/>
  <c r="DS106" i="9" s="1"/>
  <c r="GM79" i="1"/>
  <c r="GN79" i="1" s="1"/>
  <c r="G47" i="16"/>
  <c r="GM65" i="1"/>
  <c r="GN65" i="1" s="1"/>
  <c r="DT14" i="11"/>
  <c r="DJ14" i="11"/>
  <c r="DW14" i="8"/>
  <c r="DW14" i="11"/>
  <c r="DG14" i="11"/>
  <c r="DR14" i="11"/>
  <c r="U155" i="9"/>
  <c r="K155" i="9" s="1"/>
  <c r="U137" i="9"/>
  <c r="K137" i="9" s="1"/>
  <c r="GM72" i="1"/>
  <c r="GN72" i="1" s="1"/>
  <c r="U56" i="9"/>
  <c r="I180" i="9"/>
  <c r="EW14" i="8"/>
  <c r="I199" i="9"/>
  <c r="I170" i="9"/>
  <c r="I38" i="9"/>
  <c r="FX14" i="8"/>
  <c r="I202" i="9"/>
  <c r="IR14" i="8"/>
  <c r="FL14" i="8"/>
  <c r="I201" i="9"/>
  <c r="FK14" i="8"/>
  <c r="IN14" i="8"/>
  <c r="EL112" i="1"/>
  <c r="EL18" i="1" s="1"/>
  <c r="K214" i="9"/>
  <c r="DR14" i="8"/>
  <c r="GE14" i="8"/>
  <c r="I191" i="9"/>
  <c r="I193" i="9"/>
  <c r="FC14" i="8"/>
  <c r="DN82" i="1"/>
  <c r="DN22" i="1" s="1"/>
  <c r="EI112" i="1"/>
  <c r="EI18" i="1" s="1"/>
  <c r="DJ14" i="8"/>
  <c r="K207" i="9"/>
  <c r="EZ14" i="8"/>
  <c r="I228" i="9"/>
  <c r="DO22" i="1"/>
  <c r="DM14" i="8"/>
  <c r="EM22" i="1"/>
  <c r="K216" i="9"/>
  <c r="DT14" i="8"/>
  <c r="I195" i="9"/>
  <c r="FE14" i="8"/>
  <c r="EP22" i="1"/>
  <c r="K194" i="9"/>
  <c r="DG14" i="8"/>
  <c r="I231" i="9"/>
  <c r="FB14" i="8"/>
  <c r="J116" i="9"/>
  <c r="GM68" i="1"/>
  <c r="GN68" i="1" s="1"/>
  <c r="GM38" i="1"/>
  <c r="GN38" i="1" s="1"/>
  <c r="GM54" i="1"/>
  <c r="GN54" i="1" s="1"/>
  <c r="GM64" i="1"/>
  <c r="GN64" i="1" s="1"/>
  <c r="GM49" i="1"/>
  <c r="GN49" i="1" s="1"/>
  <c r="I153" i="9"/>
  <c r="R163" i="9"/>
  <c r="HA163" i="9" s="1"/>
  <c r="GM56" i="1"/>
  <c r="GN56" i="1" s="1"/>
  <c r="DQ153" i="9"/>
  <c r="I151" i="9" s="1"/>
  <c r="GJ153" i="9"/>
  <c r="GM29" i="1"/>
  <c r="GN29" i="1" s="1"/>
  <c r="GB22" i="1"/>
  <c r="H130" i="9"/>
  <c r="HB135" i="9"/>
  <c r="GM74" i="1"/>
  <c r="GN74" i="1" s="1"/>
  <c r="GM61" i="1"/>
  <c r="GN61" i="1" s="1"/>
  <c r="CP76" i="1"/>
  <c r="O76" i="1" s="1"/>
  <c r="U156" i="9"/>
  <c r="J162" i="9"/>
  <c r="GM59" i="1"/>
  <c r="GN59" i="1" s="1"/>
  <c r="H148" i="9"/>
  <c r="K152" i="9"/>
  <c r="DS152" i="9"/>
  <c r="HF135" i="9"/>
  <c r="J148" i="9"/>
  <c r="R149" i="9"/>
  <c r="HL135" i="9"/>
  <c r="I135" i="9"/>
  <c r="HN135" i="9"/>
  <c r="K134" i="9"/>
  <c r="DS134" i="9"/>
  <c r="DQ135" i="9"/>
  <c r="I133" i="9" s="1"/>
  <c r="GM66" i="1"/>
  <c r="GN66" i="1" s="1"/>
  <c r="U138" i="9"/>
  <c r="GM70" i="1"/>
  <c r="GN70" i="1" s="1"/>
  <c r="GJ135" i="9"/>
  <c r="GM42" i="1"/>
  <c r="GN42" i="1" s="1"/>
  <c r="HA131" i="9"/>
  <c r="H131" i="9"/>
  <c r="GM44" i="1"/>
  <c r="GN44" i="1" s="1"/>
  <c r="K120" i="9"/>
  <c r="DS120" i="9"/>
  <c r="J130" i="9"/>
  <c r="HF121" i="9"/>
  <c r="HB121" i="9"/>
  <c r="GL121" i="9"/>
  <c r="GJ121" i="9"/>
  <c r="DQ121" i="9"/>
  <c r="I119" i="9" s="1"/>
  <c r="I121" i="9"/>
  <c r="HN121" i="9"/>
  <c r="HL121" i="9"/>
  <c r="CP60" i="1"/>
  <c r="O60" i="1" s="1"/>
  <c r="HA117" i="9"/>
  <c r="H117" i="9"/>
  <c r="GM52" i="1"/>
  <c r="GN52" i="1" s="1"/>
  <c r="H116" i="9"/>
  <c r="U105" i="9"/>
  <c r="EC82" i="1"/>
  <c r="EC22" i="1" s="1"/>
  <c r="GM35" i="1"/>
  <c r="GN35" i="1" s="1"/>
  <c r="GM39" i="1"/>
  <c r="GN39" i="1" s="1"/>
  <c r="HN85" i="9"/>
  <c r="CP50" i="1"/>
  <c r="O50" i="1" s="1"/>
  <c r="DQ85" i="9"/>
  <c r="I83" i="9" s="1"/>
  <c r="K102" i="9"/>
  <c r="DS102" i="9"/>
  <c r="HF103" i="9"/>
  <c r="HB103" i="9"/>
  <c r="GJ103" i="9"/>
  <c r="GL103" i="9"/>
  <c r="DQ103" i="9"/>
  <c r="I101" i="9" s="1"/>
  <c r="I103" i="9"/>
  <c r="HN103" i="9"/>
  <c r="HL103" i="9"/>
  <c r="HB85" i="9"/>
  <c r="GJ85" i="9"/>
  <c r="HL85" i="9"/>
  <c r="I85" i="9"/>
  <c r="GL85" i="9"/>
  <c r="HA99" i="9"/>
  <c r="H99" i="9"/>
  <c r="GM33" i="1"/>
  <c r="GN33" i="1" s="1"/>
  <c r="HF85" i="9"/>
  <c r="H98" i="9"/>
  <c r="P106" i="1"/>
  <c r="DO112" i="1"/>
  <c r="DO18" i="1" s="1"/>
  <c r="J98" i="9"/>
  <c r="CP27" i="1"/>
  <c r="O27" i="1" s="1"/>
  <c r="P121" i="1"/>
  <c r="F92" i="1"/>
  <c r="EI22" i="1"/>
  <c r="AQ112" i="1"/>
  <c r="F122" i="1" s="1"/>
  <c r="AH22" i="1"/>
  <c r="DM82" i="1"/>
  <c r="EL22" i="1"/>
  <c r="P100" i="1"/>
  <c r="U16" i="2" s="1"/>
  <c r="U18" i="2" s="1"/>
  <c r="P101" i="1"/>
  <c r="GM46" i="1"/>
  <c r="GN46" i="1" s="1"/>
  <c r="BA82" i="1"/>
  <c r="BA22" i="1" s="1"/>
  <c r="EB22" i="1"/>
  <c r="AD22" i="1"/>
  <c r="EP112" i="1"/>
  <c r="P119" i="1" s="1"/>
  <c r="GM28" i="1"/>
  <c r="GN28" i="1" s="1"/>
  <c r="HA81" i="9"/>
  <c r="H81" i="9"/>
  <c r="P92" i="1"/>
  <c r="W82" i="1"/>
  <c r="W22" i="1" s="1"/>
  <c r="AL82" i="1"/>
  <c r="AL22" i="1" s="1"/>
  <c r="P89" i="1"/>
  <c r="ED82" i="1"/>
  <c r="DQ82" i="1" s="1"/>
  <c r="AK82" i="1"/>
  <c r="X82" i="1" s="1"/>
  <c r="H80" i="9"/>
  <c r="T82" i="1"/>
  <c r="T22" i="1" s="1"/>
  <c r="DS70" i="9"/>
  <c r="K70" i="9"/>
  <c r="AX82" i="1"/>
  <c r="AX22" i="1" s="1"/>
  <c r="HF71" i="9"/>
  <c r="GJ71" i="9"/>
  <c r="I71" i="9"/>
  <c r="HB71" i="9"/>
  <c r="DQ71" i="9"/>
  <c r="I69" i="9" s="1"/>
  <c r="GL71" i="9"/>
  <c r="HN71" i="9"/>
  <c r="HL71" i="9"/>
  <c r="CP34" i="1"/>
  <c r="O34" i="1" s="1"/>
  <c r="ER82" i="1"/>
  <c r="AZ82" i="1"/>
  <c r="F93" i="1" s="1"/>
  <c r="GM37" i="1"/>
  <c r="GN37" i="1" s="1"/>
  <c r="AI22" i="1"/>
  <c r="DK82" i="1"/>
  <c r="HA64" i="9"/>
  <c r="H64" i="9"/>
  <c r="GM30" i="1"/>
  <c r="GN30" i="1" s="1"/>
  <c r="J63" i="9"/>
  <c r="H63" i="9"/>
  <c r="K53" i="9"/>
  <c r="DS53" i="9"/>
  <c r="HF54" i="9"/>
  <c r="GJ54" i="9"/>
  <c r="HB54" i="9"/>
  <c r="I54" i="9"/>
  <c r="GL54" i="9"/>
  <c r="DQ54" i="9"/>
  <c r="I52" i="9" s="1"/>
  <c r="HN54" i="9"/>
  <c r="HL54" i="9"/>
  <c r="AP22" i="1"/>
  <c r="AP112" i="1"/>
  <c r="F121" i="1" s="1"/>
  <c r="EM112" i="1"/>
  <c r="EM18" i="1" s="1"/>
  <c r="GM31" i="1"/>
  <c r="GN31" i="1" s="1"/>
  <c r="AF22" i="1"/>
  <c r="S82" i="1"/>
  <c r="U22" i="1"/>
  <c r="F104" i="1"/>
  <c r="U112" i="1"/>
  <c r="V22" i="1"/>
  <c r="F105" i="1"/>
  <c r="V112" i="1"/>
  <c r="BB18" i="1"/>
  <c r="F125" i="1"/>
  <c r="EU18" i="1"/>
  <c r="P128" i="1"/>
  <c r="DL112" i="1"/>
  <c r="DV82" i="1"/>
  <c r="AC22" i="1"/>
  <c r="CH82" i="1"/>
  <c r="CF82" i="1"/>
  <c r="P82" i="1"/>
  <c r="CE82" i="1"/>
  <c r="AO18" i="1"/>
  <c r="F116" i="1"/>
  <c r="ES22" i="1"/>
  <c r="ES112" i="1"/>
  <c r="P102" i="1"/>
  <c r="DU22" i="1"/>
  <c r="FW82" i="1"/>
  <c r="FX82" i="1"/>
  <c r="FZ82" i="1"/>
  <c r="DH82" i="1"/>
  <c r="EG18" i="1"/>
  <c r="P116" i="1"/>
  <c r="GM26" i="1"/>
  <c r="AB82" i="1"/>
  <c r="AE22" i="1"/>
  <c r="R82" i="1"/>
  <c r="GM36" i="1"/>
  <c r="GN36" i="1" s="1"/>
  <c r="AT22" i="1"/>
  <c r="F100" i="1"/>
  <c r="F16" i="2" s="1"/>
  <c r="F18" i="2" s="1"/>
  <c r="AT112" i="1"/>
  <c r="Q22" i="1"/>
  <c r="F94" i="1"/>
  <c r="Q112" i="1"/>
  <c r="AU18" i="1"/>
  <c r="F131" i="1"/>
  <c r="DW22" i="1"/>
  <c r="DJ82" i="1"/>
  <c r="EV18" i="1"/>
  <c r="P137" i="1"/>
  <c r="BC18" i="1"/>
  <c r="F128" i="1"/>
  <c r="K106" i="9" l="1"/>
  <c r="S99" i="9"/>
  <c r="J99" i="9" s="1"/>
  <c r="DS121" i="9"/>
  <c r="K119" i="9" s="1"/>
  <c r="DL22" i="1"/>
  <c r="S117" i="9"/>
  <c r="J117" i="9" s="1"/>
  <c r="P122" i="1"/>
  <c r="P165" i="9"/>
  <c r="DS155" i="9"/>
  <c r="DL14" i="11"/>
  <c r="P103" i="1"/>
  <c r="DS137" i="9"/>
  <c r="DS103" i="9"/>
  <c r="K73" i="9"/>
  <c r="DS73" i="9"/>
  <c r="DS57" i="9"/>
  <c r="K121" i="9"/>
  <c r="DS87" i="9"/>
  <c r="K87" i="9"/>
  <c r="S81" i="9"/>
  <c r="J81" i="9" s="1"/>
  <c r="GM27" i="1"/>
  <c r="GN27" i="1" s="1"/>
  <c r="GM50" i="1"/>
  <c r="GN50" i="1" s="1"/>
  <c r="S64" i="9"/>
  <c r="J64" i="9" s="1"/>
  <c r="GM76" i="1"/>
  <c r="GN76" i="1" s="1"/>
  <c r="DS71" i="9"/>
  <c r="G45" i="16"/>
  <c r="DS54" i="9"/>
  <c r="S149" i="9"/>
  <c r="J149" i="9" s="1"/>
  <c r="S163" i="9"/>
  <c r="J163" i="9" s="1"/>
  <c r="DS153" i="9"/>
  <c r="K153" i="9"/>
  <c r="K88" i="9"/>
  <c r="DS88" i="9"/>
  <c r="GM60" i="1"/>
  <c r="GN60" i="1" s="1"/>
  <c r="GM34" i="1"/>
  <c r="GN34" i="1" s="1"/>
  <c r="H163" i="9"/>
  <c r="P105" i="1"/>
  <c r="DO14" i="11"/>
  <c r="DN112" i="1"/>
  <c r="P135" i="1" s="1"/>
  <c r="EU14" i="11"/>
  <c r="CX14" i="11"/>
  <c r="CZ14" i="11"/>
  <c r="CW14" i="11"/>
  <c r="ET14" i="11"/>
  <c r="DB14" i="11"/>
  <c r="DK14" i="11"/>
  <c r="DC14" i="11"/>
  <c r="F102" i="1"/>
  <c r="H16" i="2" s="1"/>
  <c r="H18" i="2" s="1"/>
  <c r="P130" i="1"/>
  <c r="EV14" i="8"/>
  <c r="IH14" i="8"/>
  <c r="II14" i="8"/>
  <c r="I213" i="9"/>
  <c r="DS56" i="9"/>
  <c r="K56" i="9"/>
  <c r="I188" i="9"/>
  <c r="GB14" i="8"/>
  <c r="EX14" i="8"/>
  <c r="I218" i="9"/>
  <c r="I220" i="9" s="1"/>
  <c r="I221" i="9" s="1"/>
  <c r="I223" i="9" s="1"/>
  <c r="I37" i="9" s="1"/>
  <c r="I168" i="9"/>
  <c r="FN14" i="8"/>
  <c r="FR14" i="8"/>
  <c r="K202" i="9"/>
  <c r="DO14" i="8"/>
  <c r="DM112" i="1"/>
  <c r="DM18" i="1" s="1"/>
  <c r="H232" i="9"/>
  <c r="J39" i="9"/>
  <c r="I39" i="9"/>
  <c r="ET14" i="8"/>
  <c r="CW14" i="8"/>
  <c r="DC14" i="8"/>
  <c r="K228" i="9"/>
  <c r="ER22" i="1"/>
  <c r="K208" i="9"/>
  <c r="DK14" i="8"/>
  <c r="DB14" i="8"/>
  <c r="K190" i="9"/>
  <c r="P97" i="1"/>
  <c r="K199" i="9"/>
  <c r="K170" i="9"/>
  <c r="J38" i="9"/>
  <c r="CZ14" i="8"/>
  <c r="H233" i="9"/>
  <c r="CX14" i="8"/>
  <c r="EU14" i="8"/>
  <c r="K156" i="9"/>
  <c r="DS156" i="9"/>
  <c r="HA149" i="9"/>
  <c r="I211" i="9" s="1"/>
  <c r="H149" i="9"/>
  <c r="K138" i="9"/>
  <c r="DS138" i="9"/>
  <c r="DM22" i="1"/>
  <c r="DP82" i="1"/>
  <c r="T112" i="1"/>
  <c r="F133" i="1" s="1"/>
  <c r="F103" i="1"/>
  <c r="F106" i="1"/>
  <c r="DS105" i="9"/>
  <c r="K105" i="9"/>
  <c r="AQ18" i="1"/>
  <c r="P136" i="1"/>
  <c r="P104" i="1"/>
  <c r="W112" i="1"/>
  <c r="W18" i="1" s="1"/>
  <c r="DT82" i="1"/>
  <c r="DT22" i="1" s="1"/>
  <c r="BA112" i="1"/>
  <c r="BA18" i="1" s="1"/>
  <c r="EP18" i="1"/>
  <c r="W16" i="2"/>
  <c r="W18" i="2" s="1"/>
  <c r="ED22" i="1"/>
  <c r="AK22" i="1"/>
  <c r="DK22" i="1"/>
  <c r="F89" i="1"/>
  <c r="DK112" i="1"/>
  <c r="P127" i="1" s="1"/>
  <c r="AX112" i="1"/>
  <c r="AX18" i="1" s="1"/>
  <c r="Y82" i="1"/>
  <c r="Y22" i="1" s="1"/>
  <c r="ER112" i="1"/>
  <c r="ER18" i="1" s="1"/>
  <c r="P93" i="1"/>
  <c r="AZ22" i="1"/>
  <c r="AZ112" i="1"/>
  <c r="AP18" i="1"/>
  <c r="P131" i="1"/>
  <c r="AT18" i="1"/>
  <c r="F130" i="1"/>
  <c r="DV22" i="1"/>
  <c r="DI82" i="1"/>
  <c r="X22" i="1"/>
  <c r="F108" i="1"/>
  <c r="X112" i="1"/>
  <c r="AB22" i="1"/>
  <c r="O82" i="1"/>
  <c r="FZ22" i="1"/>
  <c r="EQ82" i="1"/>
  <c r="DL18" i="1"/>
  <c r="P133" i="1"/>
  <c r="S22" i="1"/>
  <c r="S112" i="1"/>
  <c r="F97" i="1"/>
  <c r="DH22" i="1"/>
  <c r="DH112" i="1"/>
  <c r="P85" i="1"/>
  <c r="GN26" i="1"/>
  <c r="CB82" i="1" s="1"/>
  <c r="CA82" i="1"/>
  <c r="CE22" i="1"/>
  <c r="AV82" i="1"/>
  <c r="FW22" i="1"/>
  <c r="EN82" i="1"/>
  <c r="P22" i="1"/>
  <c r="F85" i="1"/>
  <c r="P112" i="1"/>
  <c r="FX22" i="1"/>
  <c r="EO82" i="1"/>
  <c r="DQ22" i="1"/>
  <c r="DQ112" i="1"/>
  <c r="P109" i="1"/>
  <c r="Q18" i="1"/>
  <c r="F124" i="1"/>
  <c r="CF22" i="1"/>
  <c r="AW82" i="1"/>
  <c r="V18" i="1"/>
  <c r="F135" i="1"/>
  <c r="U18" i="1"/>
  <c r="F134" i="1"/>
  <c r="R22" i="1"/>
  <c r="R112" i="1"/>
  <c r="F96" i="1"/>
  <c r="CH22" i="1"/>
  <c r="AY82" i="1"/>
  <c r="DJ22" i="1"/>
  <c r="DJ112" i="1"/>
  <c r="P96" i="1"/>
  <c r="ES18" i="1"/>
  <c r="P132" i="1"/>
  <c r="K133" i="9" l="1"/>
  <c r="K101" i="9"/>
  <c r="DN18" i="1"/>
  <c r="K151" i="9"/>
  <c r="K69" i="9"/>
  <c r="Q165" i="9"/>
  <c r="K83" i="9"/>
  <c r="K52" i="9"/>
  <c r="FS82" i="1"/>
  <c r="FS22" i="1" s="1"/>
  <c r="FT82" i="1"/>
  <c r="EK82" i="1" s="1"/>
  <c r="O36" i="12"/>
  <c r="DE14" i="11"/>
  <c r="DH14" i="11"/>
  <c r="DP22" i="1"/>
  <c r="DN14" i="11"/>
  <c r="DF14" i="11"/>
  <c r="DA14" i="11"/>
  <c r="Y16" i="2"/>
  <c r="Y18" i="2" s="1"/>
  <c r="I165" i="9"/>
  <c r="FM14" i="8"/>
  <c r="P134" i="1"/>
  <c r="K168" i="9"/>
  <c r="K188" i="9"/>
  <c r="DA14" i="8"/>
  <c r="K231" i="9"/>
  <c r="DE14" i="8"/>
  <c r="K195" i="9"/>
  <c r="DH14" i="8"/>
  <c r="K193" i="9"/>
  <c r="K191" i="9"/>
  <c r="DF14" i="8"/>
  <c r="DP112" i="1"/>
  <c r="DP18" i="1" s="1"/>
  <c r="K201" i="9"/>
  <c r="DN14" i="8"/>
  <c r="T18" i="1"/>
  <c r="F136" i="1"/>
  <c r="P108" i="1"/>
  <c r="P123" i="1"/>
  <c r="F132" i="1"/>
  <c r="DG82" i="1"/>
  <c r="CY14" i="11" s="1"/>
  <c r="F119" i="1"/>
  <c r="Y112" i="1"/>
  <c r="F139" i="1" s="1"/>
  <c r="F109" i="1"/>
  <c r="DK18" i="1"/>
  <c r="F123" i="1"/>
  <c r="AZ18" i="1"/>
  <c r="CB22" i="1"/>
  <c r="AS82" i="1"/>
  <c r="J16" i="2"/>
  <c r="J18" i="2" s="1"/>
  <c r="DQ18" i="1"/>
  <c r="P139" i="1"/>
  <c r="EN22" i="1"/>
  <c r="P87" i="1"/>
  <c r="EN112" i="1"/>
  <c r="S18" i="1"/>
  <c r="F127" i="1"/>
  <c r="EO22" i="1"/>
  <c r="P88" i="1"/>
  <c r="EO112" i="1"/>
  <c r="X18" i="1"/>
  <c r="F138" i="1"/>
  <c r="DH18" i="1"/>
  <c r="P115" i="1"/>
  <c r="AY22" i="1"/>
  <c r="F90" i="1"/>
  <c r="AY112" i="1"/>
  <c r="DJ18" i="1"/>
  <c r="P126" i="1"/>
  <c r="AW22" i="1"/>
  <c r="AW112" i="1"/>
  <c r="F88" i="1"/>
  <c r="AV22" i="1"/>
  <c r="F87" i="1"/>
  <c r="AV112" i="1"/>
  <c r="EQ22" i="1"/>
  <c r="EQ112" i="1"/>
  <c r="P90" i="1"/>
  <c r="R18" i="1"/>
  <c r="F126" i="1"/>
  <c r="P18" i="1"/>
  <c r="F115" i="1"/>
  <c r="DI22" i="1"/>
  <c r="DI112" i="1"/>
  <c r="P94" i="1"/>
  <c r="CA22" i="1"/>
  <c r="AR82" i="1"/>
  <c r="IK8" i="1" s="1"/>
  <c r="O22" i="1"/>
  <c r="F84" i="1"/>
  <c r="O112" i="1"/>
  <c r="FT22" i="1" l="1"/>
  <c r="EJ82" i="1"/>
  <c r="K211" i="9" s="1"/>
  <c r="DU14" i="11"/>
  <c r="DQ14" i="11"/>
  <c r="P138" i="1"/>
  <c r="DQ14" i="8"/>
  <c r="K218" i="9"/>
  <c r="K220" i="9" s="1"/>
  <c r="K221" i="9" s="1"/>
  <c r="K223" i="9" s="1"/>
  <c r="K213" i="9"/>
  <c r="DU14" i="8"/>
  <c r="DG22" i="1"/>
  <c r="CY14" i="8"/>
  <c r="Y18" i="1"/>
  <c r="P84" i="1"/>
  <c r="DG112" i="1"/>
  <c r="P114" i="1" s="1"/>
  <c r="DI18" i="1"/>
  <c r="P124" i="1"/>
  <c r="EN18" i="1"/>
  <c r="P117" i="1"/>
  <c r="O18" i="1"/>
  <c r="F114" i="1"/>
  <c r="AW18" i="1"/>
  <c r="F118" i="1"/>
  <c r="EO18" i="1"/>
  <c r="P118" i="1"/>
  <c r="EQ18" i="1"/>
  <c r="P120" i="1"/>
  <c r="EK22" i="1"/>
  <c r="P99" i="1"/>
  <c r="T16" i="2" s="1"/>
  <c r="EK112" i="1"/>
  <c r="AR22" i="1"/>
  <c r="F110" i="1"/>
  <c r="AR112" i="1"/>
  <c r="AV18" i="1"/>
  <c r="F117" i="1"/>
  <c r="AY18" i="1"/>
  <c r="F120" i="1"/>
  <c r="AS22" i="1"/>
  <c r="F99" i="1"/>
  <c r="E16" i="2" s="1"/>
  <c r="AS112" i="1"/>
  <c r="EJ22" i="1" l="1"/>
  <c r="DP14" i="11"/>
  <c r="DP14" i="8"/>
  <c r="EJ112" i="1"/>
  <c r="P140" i="1" s="1"/>
  <c r="K165" i="9"/>
  <c r="P110" i="1"/>
  <c r="K224" i="9"/>
  <c r="K225" i="9" s="1"/>
  <c r="E26" i="9"/>
  <c r="J37" i="9"/>
  <c r="DG18" i="1"/>
  <c r="AS18" i="1"/>
  <c r="F129" i="1"/>
  <c r="I16" i="2"/>
  <c r="I18" i="2" s="1"/>
  <c r="E18" i="2"/>
  <c r="AR18" i="1"/>
  <c r="F140" i="1"/>
  <c r="EK18" i="1"/>
  <c r="P129" i="1"/>
  <c r="T18" i="2"/>
  <c r="X16" i="2"/>
  <c r="X18" i="2" s="1"/>
  <c r="EJ18" i="1" l="1"/>
</calcChain>
</file>

<file path=xl/comments1.xml><?xml version="1.0" encoding="utf-8"?>
<comments xmlns="http://schemas.openxmlformats.org/spreadsheetml/2006/main">
  <authors>
    <author>Шеверева Ирина Валерьевна</author>
  </authors>
  <commentList>
    <comment ref="C11" authorId="0" shapeId="0">
      <text>
        <r>
          <rPr>
            <sz val="9"/>
            <color indexed="81"/>
            <rFont val="Tahoma"/>
            <family val="2"/>
            <charset val="204"/>
          </rPr>
          <t>Не заполнены Параметры Объекта (Акта) -&gt; Должностные лица -&gt; Инвестор -&gt; Организация</t>
        </r>
      </text>
    </comment>
    <comment ref="C12" authorId="0" shapeId="0">
      <text>
        <r>
          <rPr>
            <sz val="9"/>
            <color indexed="81"/>
            <rFont val="Tahoma"/>
            <family val="2"/>
            <charset val="204"/>
          </rPr>
          <t>Не заполнены Параметры Объекта (Акта) -&gt; Должностные лица -&gt; Заказчик -&gt; Организация</t>
        </r>
      </text>
    </comment>
    <comment ref="C13"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14"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C64" authorId="0" shapeId="0">
      <text>
        <r>
          <rPr>
            <sz val="9"/>
            <color indexed="81"/>
            <rFont val="Tahoma"/>
            <family val="2"/>
            <charset val="204"/>
          </rPr>
          <t>Не заполнены Параметры Объекта (Акта) -&gt; Должностные лица -&gt; Проверил -&gt; Должность</t>
        </r>
      </text>
    </comment>
    <comment ref="F64" authorId="0" shapeId="0">
      <text>
        <r>
          <rPr>
            <sz val="9"/>
            <color indexed="81"/>
            <rFont val="Tahoma"/>
            <family val="2"/>
            <charset val="204"/>
          </rPr>
          <t>Не заполнены Параметры Объекта (Акта) -&gt; Должностные лица -&gt; Проверил -&gt; Ф.И.О.</t>
        </r>
      </text>
    </comment>
  </commentList>
</comments>
</file>

<file path=xl/comments2.xml><?xml version="1.0" encoding="utf-8"?>
<comments xmlns="http://schemas.openxmlformats.org/spreadsheetml/2006/main">
  <authors>
    <author>Шеверева Ирина Валерьевна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C57" authorId="0" shapeId="0">
      <text>
        <r>
          <rPr>
            <sz val="9"/>
            <color indexed="81"/>
            <rFont val="Tahoma"/>
            <family val="2"/>
            <charset val="204"/>
          </rPr>
          <t>Не заполнены Параметры Объекта (Акта) -&gt; Должностные лица -&gt; Проверил -&gt; Должность</t>
        </r>
      </text>
    </comment>
    <comment ref="F57" authorId="0" shapeId="0">
      <text>
        <r>
          <rPr>
            <sz val="9"/>
            <color indexed="81"/>
            <rFont val="Tahoma"/>
            <family val="2"/>
            <charset val="204"/>
          </rPr>
          <t>Не заполнены Параметры Объекта (Акта) -&gt; Должностные лица -&gt; Проверил -&gt; Ф.И.О.</t>
        </r>
      </text>
    </comment>
  </commentList>
</comments>
</file>

<file path=xl/comments3.xml><?xml version="1.0" encoding="utf-8"?>
<comments xmlns="http://schemas.openxmlformats.org/spreadsheetml/2006/main">
  <authors>
    <author>Шеверева Ирина Валерьевна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C39" authorId="0" shapeId="0">
      <text>
        <r>
          <rPr>
            <sz val="9"/>
            <color indexed="81"/>
            <rFont val="Tahoma"/>
            <family val="2"/>
            <charset val="204"/>
          </rPr>
          <t>Не заполнены Параметры Объекта (Акта) -&gt; Должностные лица -&gt; Проверил -&gt; Должность</t>
        </r>
      </text>
    </comment>
    <comment ref="F39" authorId="0" shapeId="0">
      <text>
        <r>
          <rPr>
            <sz val="9"/>
            <color indexed="81"/>
            <rFont val="Tahoma"/>
            <family val="2"/>
            <charset val="204"/>
          </rPr>
          <t>Не заполнены Параметры Объекта (Акта) -&gt; Должностные лица -&gt; Проверил -&gt; Ф.И.О.</t>
        </r>
      </text>
    </comment>
  </commentList>
</comments>
</file>

<file path=xl/comments4.xml><?xml version="1.0" encoding="utf-8"?>
<comments xmlns="http://schemas.openxmlformats.org/spreadsheetml/2006/main">
  <authors>
    <author>Ионова Елизавета Борисовна</author>
    <author>Шеверева Ирина Валерьевна</author>
  </authors>
  <commentList>
    <comment ref="C7" authorId="0" shapeId="0">
      <text>
        <r>
          <rPr>
            <sz val="9"/>
            <color indexed="81"/>
            <rFont val="Tahoma"/>
            <family val="2"/>
            <charset val="204"/>
          </rPr>
          <t>Не заполнены Параметры Объекта -&gt; Наименования -&gt; Привязать к стройке</t>
        </r>
      </text>
    </comment>
    <comment ref="C36" authorId="1" shapeId="0">
      <text>
        <r>
          <rPr>
            <sz val="9"/>
            <color indexed="81"/>
            <rFont val="Tahoma"/>
            <family val="2"/>
            <charset val="204"/>
          </rPr>
          <t>Отделка помещений квартир типа "Теплый White Box"</t>
        </r>
      </text>
    </comment>
    <comment ref="C48" authorId="1" shapeId="0">
      <text>
        <r>
          <rPr>
            <sz val="9"/>
            <color indexed="81"/>
            <rFont val="Tahoma"/>
            <family val="2"/>
            <charset val="204"/>
          </rPr>
          <t>Монтаж окон в квартирах типа "Теплый White Box"</t>
        </r>
      </text>
    </comment>
    <comment ref="C66" authorId="1" shapeId="0">
      <text>
        <r>
          <rPr>
            <sz val="9"/>
            <color indexed="81"/>
            <rFont val="Tahoma"/>
            <family val="2"/>
            <charset val="204"/>
          </rPr>
          <t>Монтаж дверей входных в квартиры типа "Теплый White Box"</t>
        </r>
      </text>
    </comment>
  </commentList>
</comments>
</file>

<file path=xl/comments5.xml><?xml version="1.0" encoding="utf-8"?>
<comments xmlns="http://schemas.openxmlformats.org/spreadsheetml/2006/main">
  <authors>
    <author>Шеверева Ирина Валерьевна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165" authorId="0" shapeId="0">
      <text>
        <r>
          <rPr>
            <sz val="9"/>
            <color indexed="81"/>
            <rFont val="Tahoma"/>
            <family val="2"/>
            <charset val="204"/>
          </rPr>
          <t>Отделка помещений квартир типа "Теплый White Box"</t>
        </r>
      </text>
    </comment>
    <comment ref="I191" authorId="0" shapeId="0">
      <text>
        <r>
          <rPr>
            <sz val="9"/>
            <color indexed="81"/>
            <rFont val="Tahoma"/>
            <family val="2"/>
            <charset val="204"/>
          </rPr>
          <t>С учетом дополнительных затрат на перевозку (при их наличии)</t>
        </r>
      </text>
    </comment>
    <comment ref="K191" authorId="0" shapeId="0">
      <text>
        <r>
          <rPr>
            <sz val="9"/>
            <color indexed="81"/>
            <rFont val="Tahoma"/>
            <family val="2"/>
            <charset val="204"/>
          </rPr>
          <t>С учетом дополнительных затрат на перевозку (при их наличии)</t>
        </r>
      </text>
    </comment>
    <comment ref="I196" authorId="0" shapeId="0">
      <text>
        <r>
          <rPr>
            <sz val="9"/>
            <color indexed="81"/>
            <rFont val="Tahoma"/>
            <family val="2"/>
            <charset val="204"/>
          </rPr>
          <t>В том числе погрузо-разгрузочные работы (при их наличии)</t>
        </r>
      </text>
    </comment>
    <comment ref="K196" authorId="0" shapeId="0">
      <text>
        <r>
          <rPr>
            <sz val="9"/>
            <color indexed="81"/>
            <rFont val="Tahoma"/>
            <family val="2"/>
            <charset val="204"/>
          </rPr>
          <t>В том числе погрузо-разгрузочные работы (при их наличии)</t>
        </r>
      </text>
    </comment>
    <comment ref="I197" authorId="0" shapeId="0">
      <text>
        <r>
          <rPr>
            <sz val="9"/>
            <color indexed="81"/>
            <rFont val="Tahoma"/>
            <family val="2"/>
            <charset val="204"/>
          </rPr>
          <t>В том числе погрузо-разгрузочные работы (при их наличии)</t>
        </r>
      </text>
    </comment>
    <comment ref="K197" authorId="0" shapeId="0">
      <text>
        <r>
          <rPr>
            <sz val="9"/>
            <color indexed="81"/>
            <rFont val="Tahoma"/>
            <family val="2"/>
            <charset val="204"/>
          </rPr>
          <t>В том числе погрузо-разгрузочные работы (при их наличии)</t>
        </r>
      </text>
    </comment>
    <comment ref="I204" authorId="0" shapeId="0">
      <text>
        <r>
          <rPr>
            <sz val="9"/>
            <color indexed="81"/>
            <rFont val="Tahoma"/>
            <family val="2"/>
            <charset val="204"/>
          </rPr>
          <t>С учетом дополнительных затрат на перевозку (при их наличии)</t>
        </r>
      </text>
    </comment>
    <comment ref="K204" authorId="0" shapeId="0">
      <text>
        <r>
          <rPr>
            <sz val="9"/>
            <color indexed="81"/>
            <rFont val="Tahoma"/>
            <family val="2"/>
            <charset val="204"/>
          </rPr>
          <t>С учетом дополнительных затрат на перевозку (при их наличии)</t>
        </r>
      </text>
    </comment>
    <comment ref="I209" authorId="0" shapeId="0">
      <text>
        <r>
          <rPr>
            <sz val="9"/>
            <color indexed="81"/>
            <rFont val="Tahoma"/>
            <family val="2"/>
            <charset val="204"/>
          </rPr>
          <t>В том числе погрузо-разгрузочные работы (при их наличии)</t>
        </r>
      </text>
    </comment>
    <comment ref="K209" authorId="0" shapeId="0">
      <text>
        <r>
          <rPr>
            <sz val="9"/>
            <color indexed="81"/>
            <rFont val="Tahoma"/>
            <family val="2"/>
            <charset val="204"/>
          </rPr>
          <t>В том числе погрузо-разгрузочные работы (при их наличии)</t>
        </r>
      </text>
    </comment>
    <comment ref="C236" authorId="0" shapeId="0">
      <text>
        <r>
          <rPr>
            <sz val="9"/>
            <color indexed="81"/>
            <rFont val="Tahoma"/>
            <family val="2"/>
            <charset val="204"/>
          </rPr>
          <t>Не заполнены Параметры Объекта (Акта) -&gt; Должностные лица -&gt; Сдал -&gt; Должность</t>
        </r>
      </text>
    </comment>
    <comment ref="I236" authorId="0" shapeId="0">
      <text>
        <r>
          <rPr>
            <sz val="9"/>
            <color indexed="81"/>
            <rFont val="Tahoma"/>
            <family val="2"/>
            <charset val="204"/>
          </rPr>
          <t>Не заполнены Параметры Объекта (Акта) -&gt; Должностные лица -&gt; Сдал -&gt; Ф.И.О.</t>
        </r>
      </text>
    </comment>
    <comment ref="C239" authorId="0" shapeId="0">
      <text>
        <r>
          <rPr>
            <sz val="9"/>
            <color indexed="81"/>
            <rFont val="Tahoma"/>
            <family val="2"/>
            <charset val="204"/>
          </rPr>
          <t>Не заполнены Параметры Объекта (Акта) -&gt; Должностные лица -&gt; Принял -&gt; Должность</t>
        </r>
      </text>
    </comment>
    <comment ref="I239" authorId="0" shapeId="0">
      <text>
        <r>
          <rPr>
            <sz val="9"/>
            <color indexed="81"/>
            <rFont val="Tahoma"/>
            <family val="2"/>
            <charset val="204"/>
          </rPr>
          <t>Не заполнены Параметры Объекта (Акта) -&gt; Должностные лица -&gt; Принял -&gt; Ф.И.О.</t>
        </r>
      </text>
    </comment>
    <comment ref="C251" authorId="0" shapeId="0">
      <text>
        <r>
          <rPr>
            <sz val="9"/>
            <color indexed="81"/>
            <rFont val="Tahoma"/>
            <family val="2"/>
            <charset val="204"/>
          </rPr>
          <t>Не заполнены Параметры Объекта (Акта) -&gt; Должностные лица -&gt; Проверил -&gt; Должность</t>
        </r>
      </text>
    </comment>
    <comment ref="I251" authorId="0" shapeId="0">
      <text>
        <r>
          <rPr>
            <sz val="9"/>
            <color indexed="81"/>
            <rFont val="Tahoma"/>
            <family val="2"/>
            <charset val="204"/>
          </rPr>
          <t>Не заполнены Параметры Объекта (Акта) -&gt; Должностные лица -&gt; Проверил -&gt; Ф.И.О.</t>
        </r>
      </text>
    </comment>
  </commentList>
</comments>
</file>

<file path=xl/sharedStrings.xml><?xml version="1.0" encoding="utf-8"?>
<sst xmlns="http://schemas.openxmlformats.org/spreadsheetml/2006/main" count="5665" uniqueCount="579">
  <si>
    <t>Smeta.RU  (495) 974-1589</t>
  </si>
  <si>
    <t>_PS_</t>
  </si>
  <si>
    <t>Smeta.RU</t>
  </si>
  <si>
    <t>ООО "ОДСК"  Доп. раб. место  FStS-0020266</t>
  </si>
  <si>
    <t>Новая стройка 1</t>
  </si>
  <si>
    <t>Комплекс из 2-х многоквартирных домов, расположенных по адресу г.Орел, б-р Молодежи, участок 2а. 1-й этап строительства - многоквартирный дом корпус 2 (поз.1)</t>
  </si>
  <si>
    <t/>
  </si>
  <si>
    <t>5.9.3.4 Отделка квартир типа "Теплый White Box" Д1</t>
  </si>
  <si>
    <t>Типовое решение интерьера "Теплый White Box"</t>
  </si>
  <si>
    <t>Сметные нормы списания</t>
  </si>
  <si>
    <t>Коды ценников</t>
  </si>
  <si>
    <t>(v11) ТЕР Орловская обл. (ред. 2014 г.) (ПАО "Орелстрой") НОВОЕ СТРОИТЕЛЬСТВО</t>
  </si>
  <si>
    <t>Версия 1.3.0 ГСН (ГЭСН, ФЕР) и ТЕР (МДС 81-25.2001 и МДС 81-33.2004) отменены с 01.07.2021 г.</t>
  </si>
  <si>
    <t>ТСНБ ТЕР-2001 Орловской области (редакция 2014 г. от 2014.10.06)</t>
  </si>
  <si>
    <t>ТСНБ ТЕР-2001 Орловской области (редакция 2014 г. от 2014.10.06) + прайс-листы ПАО "Орелстрой" 2025.05</t>
  </si>
  <si>
    <t>Поправки для базы 2001 года (ред. 2014 года) от 2025.08.07 v67 ("Орелстрой")</t>
  </si>
  <si>
    <t>5.9.3.4</t>
  </si>
  <si>
    <t>Отделка помещений квартир типа "Теплый White Box"</t>
  </si>
  <si>
    <t>Квартиры типа "White Box" №№ 83, 8, 37, 65, 190, 177, 152, 91, 70, 124, 56, 156, 99, 136, 131, 174, 164, 68, 161, 80, 105, 73, 178, 141, 23, 50, 115, 187, 193, 67, 199, 53, 184, 179, 78, 2(ШОУРУМ).</t>
  </si>
  <si>
    <t>Потолок</t>
  </si>
  <si>
    <t>1</t>
  </si>
  <si>
    <t>15-04-006-1</t>
  </si>
  <si>
    <t>Покрытие поверхностей грунтовкой глубокого проникновения за 1 раз потолков</t>
  </si>
  <si>
    <t>100 м2 покрытия</t>
  </si>
  <si>
    <t>15-04-006-1 ТЕР-57 (ред.2014)</t>
  </si>
  <si>
    <t>Общестроительные работы</t>
  </si>
  <si>
    <t>Отделочные работы</t>
  </si>
  <si>
    <t>ФЕР-15</t>
  </si>
  <si>
    <t>МДС 81-33.2004 прил.4 п.15</t>
  </si>
  <si>
    <t>МДС 81-25.2001 прил.3 письмо АП-5536/06 прил.1 п.15</t>
  </si>
  <si>
    <t>1,1</t>
  </si>
  <si>
    <t>101-1757</t>
  </si>
  <si>
    <t>Ветошь</t>
  </si>
  <si>
    <t>кг</t>
  </si>
  <si>
    <t>101-1757 ТССЦ-57 (изд.2014)</t>
  </si>
  <si>
    <t>Материалы строительные</t>
  </si>
  <si>
    <t>Материалы и конструкции ( строительные ) по ценникам и каталогом</t>
  </si>
  <si>
    <t>ФССЦст</t>
  </si>
  <si>
    <t>[31 /  7,56] +  2,5% Трансп +  2% Заг.скл</t>
  </si>
  <si>
    <t>2,5</t>
  </si>
  <si>
    <t>2</t>
  </si>
  <si>
    <t>1,2</t>
  </si>
  <si>
    <t>101-6513</t>
  </si>
  <si>
    <t>Грунтовка акриловая глубокого проникновения (белого цвета)</t>
  </si>
  <si>
    <t>т</t>
  </si>
  <si>
    <t>101-6513 ТССЦ-57 (изд.2014)</t>
  </si>
  <si>
    <t>[40 330 /  7,56] +  2,5% Трансп +  2% Заг.скл</t>
  </si>
  <si>
    <t>Стены</t>
  </si>
  <si>
    <t>в15-02-019-14</t>
  </si>
  <si>
    <t>Огрунтовка бетонных поверхностей стен</t>
  </si>
  <si>
    <t>100 м2</t>
  </si>
  <si>
    <t>в15-02-019-14 ВЭСН ОАО "Орелстрой"</t>
  </si>
  <si>
    <t>ФЕР-15 (03)</t>
  </si>
  <si>
    <t>2,1</t>
  </si>
  <si>
    <t>2,2</t>
  </si>
  <si>
    <t>Грунтовка акриловая глубокого проникновения</t>
  </si>
  <si>
    <t>3</t>
  </si>
  <si>
    <t>в15-04-053-1</t>
  </si>
  <si>
    <t>Шпатлевка поверхностей стен за один раз внутри помещений выравнивающей шпатлевкой</t>
  </si>
  <si>
    <t>в15-04-053-1 ВЭСН ОАО "Орелстрой"</t>
  </si>
  <si>
    <t>3,1</t>
  </si>
  <si>
    <t>101-1596</t>
  </si>
  <si>
    <t>Шкурка шлифовальная двухслойная с зернистостью 40/25</t>
  </si>
  <si>
    <t>м2</t>
  </si>
  <si>
    <t>101-1596 ТССЦ-57</t>
  </si>
  <si>
    <t>[251,1 /  7,56] +  2,5% Трансп +  2% Заг.скл</t>
  </si>
  <si>
    <t>3,2</t>
  </si>
  <si>
    <t>101-1712-2</t>
  </si>
  <si>
    <t>Шпатлевка гипсовая выравнивающая</t>
  </si>
  <si>
    <t>101-1712-2 ВССЦ ОАО "Орелстрой"</t>
  </si>
  <si>
    <t>[15 550 /  7,56] +  2,5% Трансп +  2% Заг.скл</t>
  </si>
  <si>
    <t>3,3</t>
  </si>
  <si>
    <t>3,4</t>
  </si>
  <si>
    <t>411-0001</t>
  </si>
  <si>
    <t>Вода</t>
  </si>
  <si>
    <t>м3</t>
  </si>
  <si>
    <t>411-0001 ТССЦ-57</t>
  </si>
  <si>
    <t>[14,19 /  7,56] +  2,5% Трансп +  2% Заг.скл</t>
  </si>
  <si>
    <t>4</t>
  </si>
  <si>
    <t>в15-04-053-2</t>
  </si>
  <si>
    <t>Шпатлевка поверхностей стен за один раз внутри помещений финишной шпатлевкой</t>
  </si>
  <si>
    <t>в15-04-053-2 ВЭСН ОАО "Орелстрой"</t>
  </si>
  <si>
    <t>4,1</t>
  </si>
  <si>
    <t>4,2</t>
  </si>
  <si>
    <t>101-1712-3</t>
  </si>
  <si>
    <t>Шпатлевка гипсовая финишная</t>
  </si>
  <si>
    <t>101-1712-3 ВССЦ ОАО "Орелстрой"</t>
  </si>
  <si>
    <t>[17 010 /  7,56] +  2,5% Трансп +  2% Заг.скл</t>
  </si>
  <si>
    <t>4,3</t>
  </si>
  <si>
    <t>4,4</t>
  </si>
  <si>
    <t>5</t>
  </si>
  <si>
    <t>Огрунтовка бетонных поверхностей стен (по ПГП и коробам из ГВЛВ)</t>
  </si>
  <si>
    <t>5,1</t>
  </si>
  <si>
    <t>5,2</t>
  </si>
  <si>
    <t>6</t>
  </si>
  <si>
    <t>6,1</t>
  </si>
  <si>
    <t>6,2</t>
  </si>
  <si>
    <t>6,3</t>
  </si>
  <si>
    <t>6,4</t>
  </si>
  <si>
    <t>7</t>
  </si>
  <si>
    <t>15-04-006-4</t>
  </si>
  <si>
    <t>Покрытие поверхностей стен гидроизоляционной мастикой за 2 раза (с/уз)</t>
  </si>
  <si>
    <t>15-04-006-4 ТЕР-57 (ред.2014)</t>
  </si>
  <si>
    <t>7,1</t>
  </si>
  <si>
    <t>7,2</t>
  </si>
  <si>
    <t>101-6512</t>
  </si>
  <si>
    <t>Гидроизоляционная мастика Кнауф Флэхендихт</t>
  </si>
  <si>
    <t>101-6512 ТССЦ-57 (изд.2014)</t>
  </si>
  <si>
    <t>[287 000 /  7,56] +  2,5% Трансп +  2% Заг.скл</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</si>
  <si>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</si>
  <si>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</si>
  <si>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</si>
  <si>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</si>
  <si>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</si>
  <si>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</si>
  <si>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</si>
  <si>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</si>
  <si>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</si>
  <si>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</si>
  <si>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</si>
  <si>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</si>
  <si>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</si>
  <si>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</si>
  <si>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</si>
  <si>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</si>
  <si>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</si>
  <si>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</si>
  <si>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</si>
  <si>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</si>
  <si>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</si>
  <si>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</si>
  <si>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</si>
  <si>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</si>
  <si>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</si>
  <si>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</si>
  <si>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</si>
  <si>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</si>
  <si>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</si>
  <si>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</si>
  <si>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</si>
  <si>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</si>
  <si>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</si>
  <si>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</si>
  <si>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</si>
  <si>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</si>
  <si>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</si>
  <si>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</si>
  <si>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</si>
  <si>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</si>
  <si>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</si>
  <si>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</si>
  <si>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</si>
  <si>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</si>
  <si>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</si>
  <si>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</si>
  <si>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</si>
  <si>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</si>
  <si>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</si>
  <si>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</si>
  <si>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</si>
  <si>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</si>
  <si>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</si>
  <si>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</si>
  <si>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СТР_РЕК</t>
  </si>
  <si>
    <t>СТРОИТЕЛЬСТВО и РЕКОНСТРУКЦИЯ  зданий и сооружений всех назначений</t>
  </si>
  <si>
    <t>Строительство и реконструкция</t>
  </si>
  <si>
    <t>РЕМ_ЖИЛ</t>
  </si>
  <si>
    <t>КАП. РЕМ. ЖИЛЫХ И ОБЩЕСТВЕННЫХ ЗДАНИЙ</t>
  </si>
  <si>
    <t>Капитальный ремонт жилых и общественных зданий</t>
  </si>
  <si>
    <t>РЕМ_ПР</t>
  </si>
  <si>
    <t>КАП. РЕМ. ПРОИЗВОДСТВЕННЫХ ЗД, и СООРУЖЕНИЙ,  НАРУЖНЫХ ИНЖЕНЕРНЫХ СЕТЕЙ, УЛИЦ И ДОРОГ МЕСТНОГО ЗНАЧЕНИЯ, МОСТОВ И ПУТЕПРОВОДОВ</t>
  </si>
  <si>
    <t>Капитальный ремонт прозводственных зданий</t>
  </si>
  <si>
    <t>Территория</t>
  </si>
  <si>
    <t>для территории Российской Федерации, не относящейся к районам Крайнего Севера и приравненным к ним местностям</t>
  </si>
  <si>
    <t>МПРКС</t>
  </si>
  <si>
    <t>для территории Российской Федерации, относящейся к местностям, приравненным к районам Крайнего Севера</t>
  </si>
  <si>
    <t>РКС</t>
  </si>
  <si>
    <t>для территории Российской Федерации, относящейся к районам Крайнего Севера</t>
  </si>
  <si>
    <t>УПР</t>
  </si>
  <si>
    <t>{вкл} - УПРОЩЕННОЕ НАЛОГООБЛОЖЕНИЕ</t>
  </si>
  <si>
    <t>Для всех  расценок. (  при применении упрощенной системы налогообложения)  · {УПР} - ( вкл.)    -  при упрощенной системе   ;  к = 0,9 к СП ( к= 0,7 к НР отменен с 1.01.11)  · {УПР} - ( выкл.) -  при  обычной системе налогообложения</t>
  </si>
  <si>
    <t>Упрощенное налогообложение</t>
  </si>
  <si>
    <t>ХОЗ</t>
  </si>
  <si>
    <t>{вкл} - ХОЗЯЙСТВЕННЫЙ СПОСОБ</t>
  </si>
  <si>
    <t>Для всех  расценок. (  при хозяйственном способе производства работ):  · {ХОЗ} - ( вкл.)    -  при  хоз. способе (к=0,6 к НР )  · {ХОЗ} - ( выкл.) -  при обычном способе производства работ</t>
  </si>
  <si>
    <t>Хозяйственный способ</t>
  </si>
  <si>
    <t>СЛЖ</t>
  </si>
  <si>
    <t>{вкл} -  При  РЕКОНСТРУКЦИИ сложных объектов, РЕКОНСТРУКЦИИ и КАП. РЕМОНТЕ объектов с дейст. яд. реакторами</t>
  </si>
  <si>
    <t>Для сборников ФЕР ( при производстве работ на технически сложных объектах ):  ·  { СЛЖ } - (вкл.)    - работа на сложных объектах  (к=1,2 к НР)           ·  { СЛЖ } - (выкл.) - работа на обычных объектах</t>
  </si>
  <si>
    <t>"Сложные объекты "</t>
  </si>
  <si>
    <t>ТЕК_М/Т/Я</t>
  </si>
  <si>
    <t>При работе в тек. уровне цен с 27.04.2018 г. (письмо № 01/57049-ЮЛ от 27.04.2018 Минюст РФ), коэффициенты к НР =0,85 и к СП-0,8 не назначаются. До 27.04.2018 г. только для мостов, тоннелей, метро, АЭС, объектов с ядерным топливом (см. прим.)</t>
  </si>
  <si>
    <t>При работе в текущем уровне цен с 27.04.2018 г.</t>
  </si>
  <si>
    <t>ОПТ/В</t>
  </si>
  <si>
    <t>{вкл}    - Прокладка  МЕЖДУГОРОДНИХ  ВОЛОКОННО-ОПТИЧЕСКИХ ЛИНИЙ (для ФЕРм10, отд. 6 разд.3)  {выкл} - Прокладка  ГОРОДСКИХ               ВОЛОКОННО-ОПТИТЕСКИХ ЛИНИЙ  (для ФЕРм10, отд. 6 разд.3)</t>
  </si>
  <si>
    <t>Для сборников ФЕРм-10  ( волоконно-оптические линии связи ): ·  {М_ГОР_опт} -  ( вкл.)  - междугородные сети связи ( НР=120% , СП=70% )           ·  {М_ГОР_опт} - ( выкл.) - городские сети связи  ( НР=100%; СП=65%)</t>
  </si>
  <si>
    <t>Прокладка городских в/опт. линий связи</t>
  </si>
  <si>
    <t>ЗАКР</t>
  </si>
  <si>
    <t>{вкл}   -  Обслуживающие и сопутстующие работы в тоннелях при  производве работ ЗАКРЫТЫМ СПОСОБОМ   {выкл} - Обслуживающие и сопутстующие работы в тоннелях при  производве работ  ОТКРЫТЫМ                       (ФЕР-29, разд.04 )</t>
  </si>
  <si>
    <t>Для сборника ФЕР -29 ( сопутствующие работы в тоннелях и метро. ): ·  {ЗАКР} - (вкл.)     -  при выполнении работ в тоннелях  и метро закрытым способом  (НР=145% , СП=75%); ·                {ЗАКР} - (выкл.) -   при выполнении работ в тоннелях и метро  отк</t>
  </si>
  <si>
    <t>Производство работ закрытым способом ( обслуживающие процессы )</t>
  </si>
  <si>
    <t>АВИ</t>
  </si>
  <si>
    <t>(вкл)   -  При работах по ДИСПЕТЧЕРЕЗАЦИИ управления движением АВИАТРАНСПОРТОМ {вкл}  (монтажные работы )</t>
  </si>
  <si>
    <t>Для сборников ФЕРм 08;10;11 :    · {мАВИА} -  (вкл.)     -  производство монтажных  работы по диспетчеризации управления  движением авиатранспортном (НР=95%, СП=55%) ;    ·            {мАВИА} -  (выкл. ) -  при производстве работ на прочих объектах , кром</t>
  </si>
  <si>
    <t>Диспетчеризация авитранспорта</t>
  </si>
  <si>
    <t>АЭС</t>
  </si>
  <si>
    <t>(вкл)  -  Производство эл./монт. работ на АЭС ( ФЕРм -08 , отдел 01-03 ),  и контроль свар. швов  на АЭС {вкл}  (ФЕРм-39, отд. 02 и 03 )  (вык) -  Произовдство эл./монт. работ  и и контроль свар. швов на ОБЫЧНЫХ СООРУЖ,</t>
  </si>
  <si>
    <t>Для сборника ФЕРм -39  и ФЕРМ-08  ( при работах по контролю сварных соединений) :    {мАЭС} - ( вкл.)  -     при выполнении работ по на АЭС  (HР=101%; СП= 68%;             {мАЭС} - (выкл.) -  при выполнении работ  на обычных объектах</t>
  </si>
  <si>
    <t>Э/монтаж и контроль сварки на АЭС</t>
  </si>
  <si>
    <t>Инд_исп.Сводный</t>
  </si>
  <si>
    <t>Используется Индекс "по сводному"</t>
  </si>
  <si>
    <t>К_НР_РЕМ</t>
  </si>
  <si>
    <t>при ремонте жилых и общественных зданий если  ( если {РЕМ_ЖИЛ}= [вкл.]</t>
  </si>
  <si>
    <t>Для сборников  ФЕР и  ФЕРмр :  · Значение {_МДСрем_НР}= 0,90 -  при ремонте зданий жилого и гражданского назначений ( 0,90 к НР) ;  · Значение {_МДСрем_НР}= 1,00  - при строительстве  и реконструкции  объектов всех назначений</t>
  </si>
  <si>
    <t>К_СП_РЕМ</t>
  </si>
  <si>
    <t>к нормам СП при капитальном ремонте зданий и сооружений всех назначений ( если или {РЕМ_ЖИЛ}=[вкл] , или (РЕМ_ПР}=[вкл] )</t>
  </si>
  <si>
    <t>Для сборников  ФЕР и  ФЕРмр :   · Значение {_МДСрем_СП} = 0.85  -  при ремонте зданий всех назначений ( 0,85 к СП);   · Значение {_МДСрем_СП} = 1,00 -  при строительстве  и реконструкции  объектов всех назначений</t>
  </si>
  <si>
    <t>К_НР_05</t>
  </si>
  <si>
    <t>К нормам НР  с 1.01.2005 по 1.01.2011</t>
  </si>
  <si>
    <t>Для норм НР с 1.01.2011 года:  · {_ТЕК_НР} = 0.85  -  Коэффициент   учитывающий изменение нормы страховых взносов с  1.01.1 - (при расчете в текущем уровне цен  индексами по статьям затрат )  · {_ТЕК_НР} = 1,00  -  при расчет в текущем уровне цен и при уп</t>
  </si>
  <si>
    <t>К_НР_11</t>
  </si>
  <si>
    <t>Коэфф.  к НР для текущего уровня цен с 01.01.2011  при обычном и упрощенном налогообложении  при постатейной индексации</t>
  </si>
  <si>
    <t>К_СП_11</t>
  </si>
  <si>
    <t>Коэф. к  СП в текущем уровне цен  с 01.01.2011</t>
  </si>
  <si>
    <t>Для норм СП с 1.01.2011 года:  · {_ТЕК_СП} = 0.80  -  Коэффициент   учитывающий изменение нормы страховых взносов с  1.01.11 - (при расчете в текущем уровне цен  индексами по статьям затрат )  · {_ТЕК_СП} = 1,00  -  без учета</t>
  </si>
  <si>
    <t>К_НР_12</t>
  </si>
  <si>
    <t>Корректировка НР с 03.12.12 до 27.04.18 если (ТЕК_М/Т/Я) = {выкл.}</t>
  </si>
  <si>
    <t>К_СП_12</t>
  </si>
  <si>
    <t>Корректировка СП с 03.12.12 до 27.04.18 в текущем уровне цен по письму  2536-ИП/12/ГС от 27.11.12  ( если (ТЕК_М/Т/Я) = {выкл.} )</t>
  </si>
  <si>
    <t>К_НР_УПР</t>
  </si>
  <si>
    <t>Коэф. к  НР при упрощенном налогообложении    ( если {УПР} = [вкл] )</t>
  </si>
  <si>
    <t>К_СП_УПР</t>
  </si>
  <si>
    <t>Коэф. к СП при упрощенном налогообложении    ( если {УПР} = [вкл] )</t>
  </si>
  <si>
    <t>К_НР_ХОЗ</t>
  </si>
  <si>
    <t>Коэф. к НР при хозяйственном способе производства работ   ( если {ХОЗ}= {вкл} )</t>
  </si>
  <si>
    <t>К_НР_СЛЖ</t>
  </si>
  <si>
    <t>Коэф.  при реконструкции сложных объектов (мосты, метро, путепроводы)  и  кап. ремонте АЭС, объектов с яд. реакторами   ( если {СЛЖ} = [вкл] )</t>
  </si>
  <si>
    <t>Р_ОКР</t>
  </si>
  <si>
    <t>Разрядность округления результата расчета НР и СП  ( с 01.01.2011 - до целых )</t>
  </si>
  <si>
    <t>К_НР_УПР_ПУ</t>
  </si>
  <si>
    <t>Коэф. к НР при упрощенном налогообложении ( если {УПР} = [вкл] ) для расценок на изготовление материалов, полуфабрикатов, а также металлических и трубопроводных заготовок, изготовляемых в построечных условиях</t>
  </si>
  <si>
    <t>Лист_НРиСП</t>
  </si>
  <si>
    <t>Базовый уровень цен</t>
  </si>
  <si>
    <t>II квартал 2025 г.</t>
  </si>
  <si>
    <t>Сборник индексов</t>
  </si>
  <si>
    <t>ПАО "Орелстрой" (новое строительство)</t>
  </si>
  <si>
    <t>_OBSM_</t>
  </si>
  <si>
    <t>1-1040-2014-57</t>
  </si>
  <si>
    <t>Рабочий строитель среднего разряда 4</t>
  </si>
  <si>
    <t>чел.-ч</t>
  </si>
  <si>
    <t>Затраты труда машинистов</t>
  </si>
  <si>
    <t>чел.час</t>
  </si>
  <si>
    <t>030954</t>
  </si>
  <si>
    <t>030954 ТСЭМ-57 (ред.2014)</t>
  </si>
  <si>
    <t>Подъемники грузоподъемностью до 500 кг одномачтовые, высота подъема 45 м</t>
  </si>
  <si>
    <t>маш.-ч</t>
  </si>
  <si>
    <t>400001</t>
  </si>
  <si>
    <t>400001 ТСЭМ-57 (ред.2014)</t>
  </si>
  <si>
    <t>Автомобили бортовые, грузоподъемность до 5 т</t>
  </si>
  <si>
    <t>1-0040-2014-57</t>
  </si>
  <si>
    <t>Рабочий среднего разряда 4</t>
  </si>
  <si>
    <t>1-4.0-57</t>
  </si>
  <si>
    <t>Затраты труда рабочих, разряд работ 4</t>
  </si>
  <si>
    <t>031121</t>
  </si>
  <si>
    <t>031121 ТССЦ-57</t>
  </si>
  <si>
    <t>Подъемники мачтовые строительные 0.5 т</t>
  </si>
  <si>
    <t>маш.ч</t>
  </si>
  <si>
    <t>МАШ.Ч</t>
  </si>
  <si>
    <t>331451-1</t>
  </si>
  <si>
    <t>331451-1 ВССЦ ОАО "Орелстрой"</t>
  </si>
  <si>
    <t>Миксеры электрические</t>
  </si>
  <si>
    <t>400001 ТССЦ-57</t>
  </si>
  <si>
    <t>Автомобили бортовые грузоподъемностью до 5 т</t>
  </si>
  <si>
    <t>101-9732</t>
  </si>
  <si>
    <t>101-9732 ТССЦ-57 (изд.2014)</t>
  </si>
  <si>
    <t>Грунтовка</t>
  </si>
  <si>
    <t>101-1757 ТССЦ-57</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</si>
  <si>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</si>
  <si>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</si>
  <si>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</si>
  <si>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</si>
  <si>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</si>
  <si>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</si>
  <si>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</si>
  <si>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</si>
  <si>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</si>
  <si>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</si>
  <si>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</si>
  <si>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</si>
  <si>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 номер последнего сформированного листа</t>
  </si>
  <si>
    <t>Наименование программного продукта: "Мастер сметных расчетов" v11.11,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</si>
  <si>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</si>
  <si>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</si>
  <si>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</si>
  <si>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</si>
  <si>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</si>
  <si>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</si>
  <si>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</si>
  <si>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</si>
  <si>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</si>
  <si>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</si>
  <si>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</si>
  <si>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</si>
  <si>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</si>
  <si>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</si>
  <si>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5.9.3.4 Отделка квартир типа "Теплый White Box" Д1</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</si>
  <si>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</si>
  <si>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</si>
  <si>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</si>
  <si>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</si>
  <si>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</si>
  <si>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</si>
  <si>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</si>
  <si>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</si>
  <si>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</si>
  <si>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</si>
  <si>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</si>
  <si>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</si>
  <si>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апрель 2025 года, Индексы пересчета: ПАО "Орелстрой" (новое строительство) </t>
  </si>
  <si>
    <t>Наименование и редакция СНБ: ТСНБ ТЕР-2001 Орловской области (редакция 2014 г. от 2014.10.06)</t>
  </si>
  <si>
    <t xml:space="preserve">Сметная (договорная) стоимость в соответствии с договором подряда (субподряда): </t>
  </si>
  <si>
    <t>тыс.руб.</t>
  </si>
  <si>
    <t>Форма № 1б (им.Горностаева В.Е.)</t>
  </si>
  <si>
    <t xml:space="preserve"> 5.9.3.4 Отделка квартир типа "Теплый White Box" Д1 </t>
  </si>
  <si>
    <t>ЛОКАЛЬНАЯ СМЕТА № 5.9.3.4</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</si>
  <si>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</si>
  <si>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</si>
  <si>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</si>
  <si>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</si>
  <si>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</si>
  <si>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</si>
  <si>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</si>
  <si>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</si>
  <si>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апрель 2025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</si>
  <si>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</si>
  <si>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</si>
  <si>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</si>
  <si>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</si>
  <si>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</si>
  <si>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</si>
  <si>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</si>
  <si>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</si>
  <si>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</si>
  <si>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</si>
  <si>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II кв. 2025 г., руб.</t>
  </si>
  <si>
    <t xml:space="preserve">Локальная смета: </t>
  </si>
  <si>
    <t xml:space="preserve"> 5.9.3.4</t>
  </si>
  <si>
    <t xml:space="preserve"> Отделка помещений квартир типа "Теплый White Box"</t>
  </si>
  <si>
    <t xml:space="preserve">   ОЗП</t>
  </si>
  <si>
    <t xml:space="preserve">   ЭММ</t>
  </si>
  <si>
    <t xml:space="preserve">   в т.ч. ЗПМ</t>
  </si>
  <si>
    <t xml:space="preserve">   НР от ФОТ</t>
  </si>
  <si>
    <t>%</t>
  </si>
  <si>
    <t xml:space="preserve">   СП от ФОТ</t>
  </si>
  <si>
    <t xml:space="preserve">   Затраты труда рабочих</t>
  </si>
  <si>
    <t>чел-ч</t>
  </si>
  <si>
    <t>Тек. стоим. =</t>
  </si>
  <si>
    <t xml:space="preserve"> Расчет Тек.цены </t>
  </si>
  <si>
    <t xml:space="preserve">   [31 /  7,56] +  2,5% Трансп +  2% Заг.скл = 4.28 * 7.56 = 32.36</t>
  </si>
  <si>
    <t xml:space="preserve">   [40 330 /  7,56] +  2,5% Трансп +  2% Заг.скл = 5577.39 * 7.56 = 42165.07</t>
  </si>
  <si>
    <t xml:space="preserve">   Итого Ст.мат. по позиции</t>
  </si>
  <si>
    <t xml:space="preserve">   Всего по позиции</t>
  </si>
  <si>
    <t xml:space="preserve">   [251,1 /  7,56] +  2,5% Трансп +  2% Заг.скл = 34.72 * 7.56 = 262.48</t>
  </si>
  <si>
    <t xml:space="preserve">   [15 550 /  7,56] +  2,5% Трансп +  2% Заг.скл = 2150.47 * 7.56 = 16257.55</t>
  </si>
  <si>
    <t xml:space="preserve">   [14,19 /  7,56] +  2,5% Трансп +  2% Заг.скл = 1.97 * 7.56 = 14.89</t>
  </si>
  <si>
    <t xml:space="preserve">   [17 010 /  7,56] +  2,5% Трансп +  2% Заг.скл = 2352.38 * 7.56 = 17783.99</t>
  </si>
  <si>
    <t xml:space="preserve">   [287 000 /  7,56] +  2,5% Трансп +  2% Заг.скл = 39690.27 * 7.56 = 300058.44</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</si>
  <si>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</si>
  <si>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</si>
  <si>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</si>
  <si>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</si>
  <si>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</si>
  <si>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</si>
  <si>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</si>
  <si>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</si>
  <si>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</si>
  <si>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</si>
  <si>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</si>
  <si>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</si>
  <si>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</si>
  <si>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</si>
  <si>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</si>
  <si>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</si>
  <si>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</si>
  <si>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</si>
  <si>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</si>
  <si>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</si>
  <si>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</si>
  <si>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</si>
  <si>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</si>
  <si>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</si>
  <si>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t>
  </si>
  <si>
    <t>Стоимость материальных ресурсов без учета доп. перевозки</t>
  </si>
  <si>
    <t>Стоимость материальных ресурсов Заказчика</t>
  </si>
  <si>
    <t>Стоимость материальных ресурсов Подрядчика</t>
  </si>
  <si>
    <t>Доп. перевозка материальных ресурсов</t>
  </si>
  <si>
    <t>Перевозка (за исключением доп. перевозки)</t>
  </si>
  <si>
    <t>ФОТ (справочно)</t>
  </si>
  <si>
    <t>Накладные расходы (НР)</t>
  </si>
  <si>
    <t>Сметная прибыль (СП)</t>
  </si>
  <si>
    <t>Стоимость оборудования</t>
  </si>
  <si>
    <t>Стоимость оборудования без учета доп. перевозки</t>
  </si>
  <si>
    <t>Стоимость оборудования Заказчика</t>
  </si>
  <si>
    <t>Стоимость оборудования Подрядчика</t>
  </si>
  <si>
    <t>Доп. перевозка оборудования</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</si>
  <si>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</si>
  <si>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</si>
  <si>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</si>
  <si>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</si>
  <si>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</si>
  <si>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</si>
  <si>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</si>
  <si>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</si>
  <si>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</si>
  <si>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НДС</t>
  </si>
  <si>
    <t>Всего с НДС</t>
  </si>
  <si>
    <t>Справочно:</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</si>
  <si>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</si>
  <si>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</si>
  <si>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</si>
  <si>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Трудозатраты рабочих</t>
  </si>
  <si>
    <t>Сдал:</t>
  </si>
  <si>
    <t>[должность] / [подпись]</t>
  </si>
  <si>
    <t>[расшифровка подписи]</t>
  </si>
  <si>
    <t>М.П.</t>
  </si>
  <si>
    <t>Принял:</t>
  </si>
  <si>
    <t>Руководитель ПТС ООО "ОСУ-2"</t>
  </si>
  <si>
    <t>В.И.Когтев</t>
  </si>
  <si>
    <t>Исполнил:</t>
  </si>
  <si>
    <t>Главный инженер-сметчик СРС ООО "ОДСК-Инжиниринг"</t>
  </si>
  <si>
    <t>И.В.Шеверева</t>
  </si>
  <si>
    <t>Проверил:</t>
  </si>
  <si>
    <t>Конец</t>
  </si>
  <si>
    <t>SourceOb.2</t>
  </si>
  <si>
    <t>Параметры2.xls</t>
  </si>
  <si>
    <t>- уровень цен, использованный последний раз (1 - базовый / 2 - текущий)</t>
  </si>
  <si>
    <t>РАСЧЕТ СТОИМОСТИ</t>
  </si>
  <si>
    <t>материалов</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</si>
  <si>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</si>
  <si>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</si>
  <si>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</si>
  <si>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</si>
  <si>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</si>
  <si>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</si>
  <si>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</si>
  <si>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</si>
  <si>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</si>
  <si>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</si>
  <si>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</si>
  <si>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</si>
  <si>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</si>
  <si>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</si>
  <si>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</si>
  <si>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</si>
  <si>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</si>
  <si>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</si>
  <si>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</si>
  <si>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Материалы</t>
  </si>
  <si>
    <t xml:space="preserve">Сметная цена в Текущем уровне (расчет)                                                                                                  ( [31 /  7,56] +  2,5% Трансп +  2% Заг.скл = 4.28 * 7.56 = 32.36 ) </t>
  </si>
  <si>
    <t>Без НДС</t>
  </si>
  <si>
    <t xml:space="preserve">Сметная цена в Текущем уровне (расчет)                                                                                                  ( [40 330 /  7,56] +  2,5% Трансп +  2% Заг.скл = 5577.39 * 7.56 = 42165.07 ) </t>
  </si>
  <si>
    <t xml:space="preserve">Сметная цена в Текущем уровне (расчет)                                                                                                  ( [251,1 /  7,56] +  2,5% Трансп +  2% Заг.скл = 34.72 * 7.56 = 262.48 ) </t>
  </si>
  <si>
    <t xml:space="preserve">Сметная цена в Текущем уровне (расчет)                                                                                                  ( [15 550 /  7,56] +  2,5% Трансп +  2% Заг.скл = 2150.47 * 7.56 = 16257.55 ) </t>
  </si>
  <si>
    <t xml:space="preserve">Сметная цена в Текущем уровне (расчет)                                                                                                  ( [14,19 /  7,56] +  2,5% Трансп +  2% Заг.скл = 1.97 * 7.56 = 14.89 ) </t>
  </si>
  <si>
    <t xml:space="preserve">Сметная цена в Текущем уровне (расчет)                                                                                                  ( [17 010 /  7,56] +  2,5% Трансп +  2% Заг.скл = 2352.38 * 7.56 = 17783.99 ) </t>
  </si>
  <si>
    <t xml:space="preserve">Сметная цена в Текущем уровне (расчет)                                                                                                  ( [287 000 /  7,56] +  2,5% Трансп +  2% Заг.скл = 39690.27 * 7.56 = 300058.44 ) </t>
  </si>
  <si>
    <t>- стоимость материалов (последний расчет)</t>
  </si>
  <si>
    <t>РЕСУРСНЫЙ РАСЧЕТ</t>
  </si>
  <si>
    <t>ресурсов</t>
  </si>
  <si>
    <t>Трудовые ресурсы</t>
  </si>
  <si>
    <t xml:space="preserve">Сметная цена в Текущем уровне (расчет)                                                                                                  ( 9.7 * 34.6 = 335.62 ) </t>
  </si>
  <si>
    <t>Сметная цена = 0 (не задана)</t>
  </si>
  <si>
    <t xml:space="preserve">Сметная цена в Текущем уровне (расчет)                                                                                                  ( 9.7 * 38.19 = 370.44 ) </t>
  </si>
  <si>
    <t xml:space="preserve">Сметная цена в Текущем уровне (расчет)                                                                                                  ( 9.71 * 34.6 = 335.97 ) </t>
  </si>
  <si>
    <t>Машины</t>
  </si>
  <si>
    <t xml:space="preserve">Сметная цена в Текущем уровне (расчет)                                                                                                  ( 31.27 * 12.77 = 399.32 ) </t>
  </si>
  <si>
    <t xml:space="preserve">Сметная цена в Текущем уровне (расчет)                                                                                                  ( 93.37 * 12.77 = 1192.33 ) </t>
  </si>
  <si>
    <t xml:space="preserve">Сметная цена в Текущем уровне (расчет)                                                                                                  ( 55.14 * 12.77 = 704.14 ) </t>
  </si>
  <si>
    <t xml:space="preserve">Сметная цена в Текущем уровне (расчет)                                                                                                  ( 2.07 * 12.77 = 26.43 ) </t>
  </si>
  <si>
    <t xml:space="preserve">Сметная цена в Текущем уровне (расчет)                                                                                                  ( 85.94 * 12.77 = 1097.45 ) </t>
  </si>
  <si>
    <t>Материалы Подрядчика</t>
  </si>
  <si>
    <t>В том числе:</t>
  </si>
  <si>
    <t>Материальные ресурсы</t>
  </si>
  <si>
    <t>" У Т В Е Р Ж Д А Ю "</t>
  </si>
  <si>
    <t>__________________________</t>
  </si>
  <si>
    <t>"_____"_____________ _____г.</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</si>
  <si>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</si>
  <si>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</si>
  <si>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</si>
  <si>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</si>
  <si>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</si>
  <si>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</si>
  <si>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</si>
  <si>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</si>
  <si>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</si>
  <si>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</si>
  <si>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</si>
  <si>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</si>
  <si>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</si>
  <si>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</si>
  <si>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</si>
  <si>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</si>
  <si>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Отделка помещений квартир типа "Теплый White Box"</t>
  </si>
  <si>
    <t>По прайсу</t>
  </si>
  <si>
    <t xml:space="preserve">Раздел: </t>
  </si>
  <si>
    <t xml:space="preserve"> Монтаж откосов, подоконников</t>
  </si>
  <si>
    <t>10-01-035-3</t>
  </si>
  <si>
    <t>Установка подоконных досок из ПВХ в каменных стенах толщиной свыше 0,51 м</t>
  </si>
  <si>
    <t>100 п. м</t>
  </si>
  <si>
    <t>ШТ</t>
  </si>
  <si>
    <t>07-05-039-8</t>
  </si>
  <si>
    <r>
      <t>Устройство герметизации коробок окон и балконных дверей мастикой вулканизирующейся тиоколовой ( герметиком силиконовым подоконник)</t>
    </r>
    <r>
      <rPr>
        <sz val="8"/>
        <color rgb="FF0000FF"/>
        <rFont val="Arial"/>
        <family val="2"/>
        <charset val="204"/>
      </rPr>
      <t xml:space="preserve">  (Поправка: "Орелстрой" прил.3) </t>
    </r>
  </si>
  <si>
    <t>100 м шва</t>
  </si>
  <si>
    <t>26-01-036-1</t>
  </si>
  <si>
    <r>
      <t>Изоляция изделиями из волокнистых и зернистых материалов с креплением на клее и дюбелями холодных поверхностей наружных стен</t>
    </r>
    <r>
      <rPr>
        <sz val="8"/>
        <color rgb="FF0000FF"/>
        <rFont val="Arial"/>
        <family val="2"/>
        <charset val="204"/>
      </rPr>
      <t xml:space="preserve">  (Поправка: "Орелстрой" прил.3) </t>
    </r>
  </si>
  <si>
    <t>100 м2 поверхности</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</si>
  <si>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</si>
  <si>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</si>
  <si>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</si>
  <si>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10-01-036-1</t>
  </si>
  <si>
    <t>Установка уголков ПВХ на клее (Установка F-профиля)</t>
  </si>
  <si>
    <t>Установка уголков ПВХ на клее (Установка стартового профиля)</t>
  </si>
  <si>
    <t xml:space="preserve">С НДС </t>
  </si>
  <si>
    <t>Двери-деревянные</t>
  </si>
  <si>
    <t>в10-01-039-15</t>
  </si>
  <si>
    <t>в10-01-047-3</t>
  </si>
  <si>
    <t>100 ШТ</t>
  </si>
  <si>
    <t>Двери-сейфы квартир</t>
  </si>
  <si>
    <t>09-04-012-1</t>
  </si>
  <si>
    <t>Установка металлических дверных блоков в готовые проемы</t>
  </si>
  <si>
    <t>1 м2 проема</t>
  </si>
  <si>
    <t xml:space="preserve">Установка входных дверных блоков в квартиру ДУ 21-10 (поз.5,5*,6,6*) см.основное  приложение двери </t>
  </si>
  <si>
    <t xml:space="preserve">Установка дверных приборов: замки врезные с ручкой  см.основное  приложение двери </t>
  </si>
  <si>
    <t xml:space="preserve">                              УДТВЕРЖДАЮ</t>
  </si>
  <si>
    <t xml:space="preserve">                                Директор ООО "ОСУ-2" </t>
  </si>
  <si>
    <t>Посулихин А.А.</t>
  </si>
  <si>
    <t xml:space="preserve">Комплекс из 2-х многоквартирных домов, расположенных по адресу г.Орел, б-р Молодежи, участок 2а. </t>
  </si>
  <si>
    <t>1-й этап строительства  многоквартирный дом корпус 2 (поз.1)</t>
  </si>
  <si>
    <t xml:space="preserve">Финишная отдлека </t>
  </si>
  <si>
    <t>ООО "______________________________" готово выполнить полный комплекс работ на нижеследующих условиях:</t>
  </si>
  <si>
    <t>ИНН   ______________________________</t>
  </si>
  <si>
    <t xml:space="preserve">                       ТЕХНИЧЕСКОЕ ЗАДАНИЕ (приложение № 2 отделка помещений)</t>
  </si>
  <si>
    <t xml:space="preserve">Квартиры типа "White Box" </t>
  </si>
  <si>
    <t>Сроки производства работ :            с  даты заключения договора по 31.12.2025г.</t>
  </si>
  <si>
    <t xml:space="preserve">Примечание: </t>
  </si>
  <si>
    <t>Материалы: давальческие</t>
  </si>
  <si>
    <t>Объемы работ предварительные,могут меняться в связи с изменениями в рабочей документации, а так же появлением квартир комфорт.</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</si>
  <si>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</si>
  <si>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</si>
  <si>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</si>
  <si>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</si>
  <si>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</si>
  <si>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Охрана объекта - Генподрядчик</t>
  </si>
  <si>
    <t>Работы выполняются в соответствии с требованиями нормативных документов СП, СНиП, ГОСТ и т.д.</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</si>
  <si>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</si>
  <si>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</si>
  <si>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</si>
  <si>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</si>
  <si>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</si>
  <si>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</si>
  <si>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При наличии лиц не имеющих гражданство России, наличие документов, подтверждающих право работы в России (патент и т.д.)</t>
  </si>
  <si>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</si>
  <si>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</si>
  <si>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</si>
  <si>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Гарантийный срок на выполняемые работы  - 66 месяцев</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</si>
  <si>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</si>
  <si>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</si>
  <si>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</si>
  <si>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</si>
  <si>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r>
      <t xml:space="preserve">свидетельство о допуске к ведению работ (СРО) </t>
    </r>
    <r>
      <rPr>
        <b/>
        <sz val="11"/>
        <rFont val="Arial Narrow"/>
        <family val="2"/>
        <charset val="204"/>
      </rPr>
      <t>не обязательно;</t>
    </r>
  </si>
  <si>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</si>
  <si>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</si>
  <si>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</si>
  <si>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</si>
  <si>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</si>
  <si>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</si>
  <si>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</si>
  <si>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t>Ответственный: Инженер ПТС ПТГ</t>
  </si>
  <si>
    <t xml:space="preserve">Е.Б. Ионова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</si>
</sst>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60" x14ac:knownFonts="1">
    <font>
      <sz val="10"/>
      <name val="Arial"/>
      <charset val="204"/>
    </font>
    <font>
      <b/>
      <sz val="10"/>
      <color indexed="12"/>
      <name val="Arial"/>
      <charset val="204"/>
    </font>
    <font>
      <sz val="10"/>
      <color indexed="18"/>
      <name val="Arial"/>
      <charset val="204"/>
    </font>
    <font>
      <b/>
      <sz val="10"/>
      <color indexed="16"/>
      <name val="Arial"/>
      <charset val="204"/>
    </font>
    <font>
      <b/>
      <sz val="10"/>
      <color indexed="20"/>
      <name val="Arial"/>
      <charset val="204"/>
    </font>
    <font>
      <b/>
      <sz val="10"/>
      <color indexed="17"/>
      <name val="Arial"/>
      <charset val="204"/>
    </font>
    <font>
      <sz val="10"/>
      <color indexed="17"/>
      <name val="Arial"/>
      <charset val="204"/>
    </font>
    <font>
      <sz val="10"/>
      <color indexed="12"/>
      <name val="Arial"/>
      <charset val="204"/>
    </font>
    <font>
      <sz val="10"/>
      <color indexed="14"/>
      <name val="Arial"/>
      <charset val="204"/>
    </font>
    <font>
      <sz val="10"/>
      <color indexed="16"/>
      <name val="Arial"/>
      <charset val="204"/>
    </font>
    <font>
      <b/>
      <sz val="10"/>
      <color indexed="14"/>
      <name val="Arial"/>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sz val="10"/>
      <color rgb="FF008000"/>
      <name val="Arial"/>
      <family val="2"/>
      <charset val="204"/>
    </font>
    <font>
      <sz val="8"/>
      <color rgb="FF008000"/>
      <name val="Arial"/>
      <family val="2"/>
      <charset val="204"/>
    </font>
    <font>
      <sz val="9"/>
      <color rgb="FF008000"/>
      <name val="Arial"/>
      <family val="2"/>
      <charset val="204"/>
    </font>
    <font>
      <sz val="8"/>
      <color rgb="FF0000FF"/>
      <name val="Arial"/>
      <family val="2"/>
      <charset val="204"/>
    </font>
    <font>
      <b/>
      <sz val="9"/>
      <color rgb="FF008000"/>
      <name val="Arial"/>
      <family val="2"/>
      <charset val="204"/>
    </font>
    <font>
      <sz val="10"/>
      <color rgb="FF000080"/>
      <name val="Arial"/>
      <family val="2"/>
      <charset val="204"/>
    </font>
    <font>
      <i/>
      <sz val="10"/>
      <color rgb="FF000080"/>
      <name val="Arial"/>
      <family val="2"/>
      <charset val="204"/>
    </font>
    <font>
      <sz val="10"/>
      <color rgb="FF800000"/>
      <name val="Arial"/>
      <family val="2"/>
      <charset val="204"/>
    </font>
    <font>
      <sz val="10"/>
      <color rgb="FF0000FF"/>
      <name val="Arial"/>
      <family val="2"/>
      <charset val="204"/>
    </font>
    <font>
      <sz val="10"/>
      <color rgb="FFFF0000"/>
      <name val="Arial"/>
      <family val="2"/>
      <charset val="204"/>
    </font>
    <font>
      <sz val="10"/>
      <color rgb="FFFF00FF"/>
      <name val="Arial"/>
      <family val="2"/>
      <charset val="204"/>
    </font>
    <font>
      <i/>
      <sz val="10"/>
      <color rgb="FFFF00FF"/>
      <name val="Arial"/>
      <family val="2"/>
      <charset val="204"/>
    </font>
    <font>
      <sz val="8"/>
      <name val="Times New Roman Cyr"/>
      <charset val="204"/>
    </font>
    <font>
      <b/>
      <u/>
      <sz val="12"/>
      <name val="Times New Roman"/>
      <family val="1"/>
      <charset val="204"/>
    </font>
    <font>
      <sz val="9"/>
      <color rgb="FFFFFFFF"/>
      <name val="Arial"/>
      <family val="2"/>
      <charset val="204"/>
    </font>
    <font>
      <sz val="8"/>
      <name val="Times New Roman"/>
      <family val="1"/>
      <charset val="204"/>
    </font>
    <font>
      <sz val="9"/>
      <color rgb="FFFF00FF"/>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b/>
      <u/>
      <sz val="9"/>
      <name val="Arial"/>
      <family val="2"/>
      <charset val="204"/>
    </font>
    <font>
      <b/>
      <sz val="11"/>
      <name val="Arial Narrow"/>
      <family val="2"/>
      <charset val="204"/>
    </font>
    <font>
      <b/>
      <sz val="12"/>
      <color theme="1"/>
      <name val="Arial Narrow"/>
      <family val="2"/>
      <charset val="204"/>
    </font>
    <font>
      <sz val="11"/>
      <color rgb="FF00B0F0"/>
      <name val="Arial Narrow"/>
      <family val="2"/>
      <charset val="204"/>
    </font>
    <font>
      <u/>
      <sz val="11"/>
      <name val="Arial Narrow"/>
      <family val="2"/>
      <charset val="204"/>
    </font>
    <font>
      <b/>
      <sz val="11"/>
      <color rgb="FF00B0F0"/>
      <name val="Arial Narrow"/>
      <family val="2"/>
      <charset val="204"/>
    </font>
    <font>
      <b/>
      <i/>
      <u/>
      <sz val="10"/>
      <name val="Arial"/>
      <family val="2"/>
      <charset val="204"/>
    </font>
    <font>
      <sz val="11"/>
      <name val="Arial Narrow"/>
      <family val="2"/>
      <charset val="204"/>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cellStyleXfs>
  <cellXfs count="33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2" xfId="0" applyBorder="1"/>
    <xf numFmtId="0" fontId="0" fillId="0" borderId="6"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8" xfId="0" applyBorder="1"/>
    <xf numFmtId="0" fontId="25" fillId="0" borderId="0" xfId="0" applyFont="1"/>
    <xf numFmtId="0" fontId="26" fillId="0" borderId="0" xfId="0" applyFont="1" applyAlignment="1">
      <alignment wrapText="1"/>
    </xf>
    <xf numFmtId="0" fontId="0" fillId="0" borderId="3" xfId="0" applyBorder="1"/>
    <xf numFmtId="0" fontId="12" fillId="0" borderId="23" xfId="0" applyFont="1" applyBorder="1" applyAlignment="1">
      <alignment horizontal="left" vertical="top" wrapText="1"/>
    </xf>
    <xf numFmtId="0" fontId="22" fillId="0" borderId="22" xfId="0" applyFont="1" applyBorder="1" applyAlignment="1">
      <alignment horizontal="left" vertical="top" wrapText="1"/>
    </xf>
    <xf numFmtId="0" fontId="12" fillId="0" borderId="22" xfId="0" applyFont="1" applyBorder="1" applyAlignment="1">
      <alignment horizontal="right" wrapText="1"/>
    </xf>
    <xf numFmtId="0" fontId="22" fillId="0" borderId="22" xfId="0" applyFont="1" applyBorder="1" applyAlignment="1">
      <alignment horizontal="right" shrinkToFit="1"/>
    </xf>
    <xf numFmtId="4" fontId="22" fillId="0" borderId="22" xfId="0" applyNumberFormat="1" applyFont="1" applyBorder="1" applyAlignment="1">
      <alignment horizontal="right" shrinkToFit="1"/>
    </xf>
    <xf numFmtId="3" fontId="24" fillId="0" borderId="22" xfId="0" applyNumberFormat="1" applyFont="1" applyBorder="1" applyAlignment="1">
      <alignment horizontal="right" shrinkToFit="1"/>
    </xf>
    <xf numFmtId="0" fontId="28" fillId="0" borderId="22" xfId="0" applyFont="1" applyBorder="1" applyAlignment="1">
      <alignment horizontal="right" shrinkToFit="1"/>
    </xf>
    <xf numFmtId="3" fontId="24" fillId="0" borderId="24" xfId="0" applyNumberFormat="1" applyFont="1" applyBorder="1" applyAlignment="1">
      <alignment horizontal="right" shrinkToFit="1"/>
    </xf>
    <xf numFmtId="49" fontId="12" fillId="0" borderId="22" xfId="0" applyNumberFormat="1" applyFont="1" applyBorder="1" applyAlignment="1">
      <alignment horizontal="left" vertical="top" wrapText="1"/>
    </xf>
    <xf numFmtId="49" fontId="27" fillId="0" borderId="22" xfId="0" applyNumberFormat="1" applyFont="1" applyBorder="1" applyAlignment="1">
      <alignment horizontal="left" vertical="top" wrapText="1" shrinkToFit="1"/>
    </xf>
    <xf numFmtId="0" fontId="0" fillId="0" borderId="10" xfId="0" applyBorder="1"/>
    <xf numFmtId="0" fontId="0" fillId="0" borderId="25" xfId="0" applyBorder="1"/>
    <xf numFmtId="0" fontId="0" fillId="0" borderId="26" xfId="0" applyBorder="1"/>
    <xf numFmtId="0" fontId="12" fillId="0" borderId="25"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29"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6" xfId="0" applyNumberFormat="1" applyFont="1" applyBorder="1" applyAlignment="1">
      <alignment horizontal="right" shrinkToFit="1"/>
    </xf>
    <xf numFmtId="4" fontId="0" fillId="0" borderId="0" xfId="0" applyNumberFormat="1"/>
    <xf numFmtId="0" fontId="0" fillId="0" borderId="27" xfId="0" applyBorder="1"/>
    <xf numFmtId="0" fontId="0" fillId="0" borderId="15" xfId="0" applyBorder="1"/>
    <xf numFmtId="0" fontId="12" fillId="0" borderId="15" xfId="0" applyFont="1" applyBorder="1" applyAlignment="1">
      <alignment horizontal="left" vertical="top" wrapText="1"/>
    </xf>
    <xf numFmtId="0" fontId="12" fillId="0" borderId="27" xfId="0" applyFont="1" applyBorder="1" applyAlignment="1">
      <alignment horizontal="left" vertical="top" wrapText="1"/>
    </xf>
    <xf numFmtId="0" fontId="12" fillId="0" borderId="27" xfId="0" applyFont="1" applyBorder="1" applyAlignment="1">
      <alignment horizontal="right" wrapText="1"/>
    </xf>
    <xf numFmtId="0" fontId="22" fillId="0" borderId="27" xfId="0" applyFont="1" applyBorder="1" applyAlignment="1">
      <alignment horizontal="right" shrinkToFit="1"/>
    </xf>
    <xf numFmtId="4" fontId="22" fillId="0" borderId="27" xfId="0" applyNumberFormat="1" applyFont="1" applyBorder="1" applyAlignment="1">
      <alignment horizontal="right" shrinkToFit="1"/>
    </xf>
    <xf numFmtId="0" fontId="29" fillId="0" borderId="27" xfId="0" applyFont="1" applyBorder="1" applyAlignment="1">
      <alignment horizontal="left" shrinkToFit="1"/>
    </xf>
    <xf numFmtId="3" fontId="22" fillId="0" borderId="27" xfId="0" applyNumberFormat="1" applyFont="1" applyBorder="1" applyAlignment="1">
      <alignment horizontal="right" shrinkToFit="1"/>
    </xf>
    <xf numFmtId="0" fontId="28" fillId="0" borderId="27" xfId="0" applyFont="1" applyBorder="1" applyAlignment="1">
      <alignment horizontal="right" shrinkToFit="1"/>
    </xf>
    <xf numFmtId="3" fontId="22" fillId="0" borderId="28" xfId="0" applyNumberFormat="1" applyFont="1" applyBorder="1" applyAlignment="1">
      <alignment horizontal="right" shrinkToFit="1"/>
    </xf>
    <xf numFmtId="0" fontId="30" fillId="0" borderId="15" xfId="0" applyFont="1" applyBorder="1" applyAlignment="1">
      <alignment horizontal="left" vertical="top" wrapText="1"/>
    </xf>
    <xf numFmtId="0" fontId="30" fillId="0" borderId="27" xfId="0" applyFont="1" applyBorder="1" applyAlignment="1">
      <alignment horizontal="left" vertical="top" wrapText="1"/>
    </xf>
    <xf numFmtId="0" fontId="30" fillId="0" borderId="27" xfId="0" applyFont="1" applyBorder="1" applyAlignment="1">
      <alignment horizontal="right" wrapText="1"/>
    </xf>
    <xf numFmtId="0" fontId="31" fillId="0" borderId="27" xfId="0" applyFont="1" applyBorder="1" applyAlignment="1">
      <alignment horizontal="right" shrinkToFit="1"/>
    </xf>
    <xf numFmtId="4" fontId="31" fillId="0" borderId="27" xfId="0" applyNumberFormat="1" applyFont="1" applyBorder="1" applyAlignment="1">
      <alignment horizontal="left" shrinkToFit="1"/>
    </xf>
    <xf numFmtId="0" fontId="31" fillId="0" borderId="27" xfId="0" applyFont="1" applyBorder="1" applyAlignment="1">
      <alignment horizontal="left" shrinkToFit="1"/>
    </xf>
    <xf numFmtId="4" fontId="31" fillId="0" borderId="27" xfId="0" applyNumberFormat="1" applyFont="1" applyBorder="1" applyAlignment="1">
      <alignment horizontal="right" shrinkToFit="1"/>
    </xf>
    <xf numFmtId="3" fontId="31" fillId="0" borderId="27" xfId="0" applyNumberFormat="1" applyFont="1" applyBorder="1" applyAlignment="1">
      <alignment horizontal="right" shrinkToFit="1"/>
    </xf>
    <xf numFmtId="3" fontId="31" fillId="0" borderId="28" xfId="0" applyNumberFormat="1" applyFont="1" applyBorder="1" applyAlignment="1">
      <alignment horizontal="right" shrinkToFit="1"/>
    </xf>
    <xf numFmtId="9" fontId="31" fillId="0" borderId="27" xfId="0" applyNumberFormat="1" applyFont="1" applyBorder="1" applyAlignment="1">
      <alignment horizontal="right" shrinkToFit="1"/>
    </xf>
    <xf numFmtId="4" fontId="12" fillId="0" borderId="27" xfId="0" applyNumberFormat="1" applyFont="1" applyBorder="1" applyAlignment="1">
      <alignment horizontal="right" vertical="top" shrinkToFit="1"/>
    </xf>
    <xf numFmtId="0" fontId="0" fillId="0" borderId="29" xfId="0" applyBorder="1"/>
    <xf numFmtId="0" fontId="0" fillId="0" borderId="30" xfId="0" applyBorder="1"/>
    <xf numFmtId="0" fontId="33" fillId="0" borderId="29" xfId="0" applyFont="1" applyBorder="1" applyAlignment="1">
      <alignment horizontal="left" vertical="top" wrapText="1"/>
    </xf>
    <xf numFmtId="0" fontId="34" fillId="0" borderId="6" xfId="0" applyFont="1" applyBorder="1" applyAlignment="1">
      <alignment horizontal="left" vertical="top" wrapText="1"/>
    </xf>
    <xf numFmtId="0" fontId="33" fillId="0" borderId="6" xfId="0" applyFont="1" applyBorder="1" applyAlignment="1">
      <alignment horizontal="right" wrapText="1"/>
    </xf>
    <xf numFmtId="0" fontId="34" fillId="0" borderId="6" xfId="0" applyFont="1" applyBorder="1" applyAlignment="1">
      <alignment horizontal="right" shrinkToFit="1"/>
    </xf>
    <xf numFmtId="4" fontId="34" fillId="0" borderId="6" xfId="0" applyNumberFormat="1" applyFont="1" applyBorder="1" applyAlignment="1">
      <alignment horizontal="right" shrinkToFit="1"/>
    </xf>
    <xf numFmtId="0" fontId="29" fillId="0" borderId="6" xfId="0" applyFont="1" applyBorder="1" applyAlignment="1">
      <alignment horizontal="left" shrinkToFit="1"/>
    </xf>
    <xf numFmtId="3" fontId="34" fillId="0" borderId="6" xfId="0" applyNumberFormat="1" applyFont="1" applyBorder="1" applyAlignment="1">
      <alignment horizontal="right" shrinkToFit="1"/>
    </xf>
    <xf numFmtId="0" fontId="28" fillId="0" borderId="6" xfId="0" applyFont="1" applyBorder="1" applyAlignment="1">
      <alignment horizontal="right" shrinkToFit="1"/>
    </xf>
    <xf numFmtId="3" fontId="34" fillId="0" borderId="30" xfId="0" applyNumberFormat="1" applyFont="1" applyBorder="1" applyAlignment="1">
      <alignment horizontal="right" shrinkToFit="1"/>
    </xf>
    <xf numFmtId="49" fontId="33" fillId="0" borderId="6" xfId="0" applyNumberFormat="1" applyFont="1" applyBorder="1" applyAlignment="1">
      <alignment horizontal="left" vertical="top" wrapText="1"/>
    </xf>
    <xf numFmtId="4" fontId="2" fillId="0" borderId="0" xfId="0" applyNumberFormat="1" applyFont="1"/>
    <xf numFmtId="0" fontId="35" fillId="0" borderId="10" xfId="0" applyFont="1" applyBorder="1" applyAlignment="1">
      <alignment horizontal="left" vertical="top"/>
    </xf>
    <xf numFmtId="0" fontId="32" fillId="0" borderId="0" xfId="0" applyFont="1"/>
    <xf numFmtId="0" fontId="35" fillId="0" borderId="6" xfId="0" applyFont="1" applyBorder="1" applyAlignment="1">
      <alignment horizontal="left" vertical="top"/>
    </xf>
    <xf numFmtId="0" fontId="33" fillId="0" borderId="25" xfId="0" applyFont="1" applyBorder="1" applyAlignment="1">
      <alignment horizontal="left" vertical="top" wrapText="1"/>
    </xf>
    <xf numFmtId="49" fontId="33" fillId="0" borderId="10" xfId="0" applyNumberFormat="1" applyFont="1" applyBorder="1" applyAlignment="1">
      <alignment horizontal="left" vertical="top" wrapText="1"/>
    </xf>
    <xf numFmtId="0" fontId="34" fillId="0" borderId="10" xfId="0" applyFont="1" applyBorder="1" applyAlignment="1">
      <alignment horizontal="left" vertical="top" wrapText="1"/>
    </xf>
    <xf numFmtId="0" fontId="33" fillId="0" borderId="10" xfId="0" applyFont="1" applyBorder="1" applyAlignment="1">
      <alignment horizontal="right" wrapText="1"/>
    </xf>
    <xf numFmtId="0" fontId="34" fillId="0" borderId="10" xfId="0" applyFont="1" applyBorder="1" applyAlignment="1">
      <alignment horizontal="right" shrinkToFit="1"/>
    </xf>
    <xf numFmtId="4" fontId="34" fillId="0" borderId="10" xfId="0" applyNumberFormat="1" applyFont="1" applyBorder="1" applyAlignment="1">
      <alignment horizontal="right" shrinkToFit="1"/>
    </xf>
    <xf numFmtId="3" fontId="34" fillId="0" borderId="10" xfId="0" applyNumberFormat="1" applyFont="1" applyBorder="1" applyAlignment="1">
      <alignment horizontal="right" shrinkToFit="1"/>
    </xf>
    <xf numFmtId="3" fontId="34" fillId="0" borderId="26" xfId="0" applyNumberFormat="1" applyFont="1" applyBorder="1" applyAlignment="1">
      <alignment horizontal="right" shrinkToFit="1"/>
    </xf>
    <xf numFmtId="0" fontId="18" fillId="0" borderId="27" xfId="0" applyFont="1" applyBorder="1" applyAlignment="1">
      <alignment vertical="top" shrinkToFit="1"/>
    </xf>
    <xf numFmtId="0" fontId="18" fillId="0" borderId="15" xfId="0" applyFont="1" applyBorder="1" applyAlignment="1">
      <alignment vertical="top" shrinkToFit="1"/>
    </xf>
    <xf numFmtId="0" fontId="36" fillId="0" borderId="31" xfId="0" applyFont="1" applyBorder="1" applyAlignment="1">
      <alignment vertical="top" shrinkToFit="1"/>
    </xf>
    <xf numFmtId="0" fontId="36" fillId="0" borderId="32" xfId="0" applyFont="1" applyBorder="1" applyAlignment="1">
      <alignment vertical="top" shrinkToFit="1"/>
    </xf>
    <xf numFmtId="0" fontId="12" fillId="0" borderId="29"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3" fontId="24" fillId="0" borderId="30"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0" fillId="0" borderId="18" xfId="0" applyBorder="1" applyAlignment="1">
      <alignment shrinkToFit="1"/>
    </xf>
    <xf numFmtId="0" fontId="18" fillId="0" borderId="18" xfId="0" applyFont="1" applyBorder="1" applyAlignment="1">
      <alignment shrinkToFit="1"/>
    </xf>
    <xf numFmtId="3" fontId="18" fillId="0" borderId="18" xfId="0" applyNumberFormat="1" applyFont="1" applyBorder="1" applyAlignment="1">
      <alignment shrinkToFit="1"/>
    </xf>
    <xf numFmtId="0" fontId="37" fillId="0" borderId="0" xfId="0" applyFont="1"/>
    <xf numFmtId="0" fontId="38" fillId="0" borderId="0" xfId="0" applyFont="1"/>
    <xf numFmtId="3" fontId="11" fillId="0" borderId="0" xfId="0" applyNumberFormat="1" applyFont="1" applyAlignment="1">
      <alignment shrinkToFit="1"/>
    </xf>
    <xf numFmtId="0" fontId="38" fillId="0" borderId="0" xfId="0" applyFont="1" applyAlignment="1">
      <alignment horizontal="left" indent="1"/>
    </xf>
    <xf numFmtId="0" fontId="39" fillId="0" borderId="0" xfId="0" applyFont="1"/>
    <xf numFmtId="0" fontId="39" fillId="0" borderId="0" xfId="0" applyFont="1" applyAlignment="1">
      <alignment horizontal="left" indent="2"/>
    </xf>
    <xf numFmtId="3" fontId="39" fillId="0" borderId="0" xfId="0" applyNumberFormat="1" applyFont="1" applyAlignment="1">
      <alignment shrinkToFit="1"/>
    </xf>
    <xf numFmtId="0" fontId="38" fillId="0" borderId="0" xfId="0" applyFont="1" applyAlignment="1">
      <alignment horizontal="left" indent="3"/>
    </xf>
    <xf numFmtId="0" fontId="39" fillId="0" borderId="0" xfId="0" applyFont="1" applyAlignment="1">
      <alignment horizontal="left" indent="4"/>
    </xf>
    <xf numFmtId="0" fontId="40" fillId="0" borderId="0" xfId="0" applyFont="1"/>
    <xf numFmtId="0" fontId="40" fillId="0" borderId="0" xfId="0" applyFont="1" applyAlignment="1">
      <alignment horizontal="left" indent="2"/>
    </xf>
    <xf numFmtId="3" fontId="40" fillId="0" borderId="0" xfId="0" applyNumberFormat="1" applyFont="1" applyAlignment="1">
      <alignment shrinkToFit="1"/>
    </xf>
    <xf numFmtId="0" fontId="40" fillId="0" borderId="0" xfId="0" applyFont="1" applyAlignment="1">
      <alignment horizontal="left" indent="4"/>
    </xf>
    <xf numFmtId="0" fontId="32" fillId="0" borderId="0" xfId="0" applyFont="1" applyAlignment="1">
      <alignment horizontal="left" indent="2"/>
    </xf>
    <xf numFmtId="3" fontId="32" fillId="0" borderId="0" xfId="0" applyNumberFormat="1" applyFont="1" applyAlignment="1">
      <alignment shrinkToFit="1"/>
    </xf>
    <xf numFmtId="0" fontId="32" fillId="0" borderId="0" xfId="0" applyFont="1" applyAlignment="1">
      <alignment horizontal="left" indent="3"/>
    </xf>
    <xf numFmtId="0" fontId="32" fillId="0" borderId="0" xfId="0" applyFont="1" applyAlignment="1">
      <alignment horizontal="left" indent="4"/>
    </xf>
    <xf numFmtId="0" fontId="32" fillId="0" borderId="0" xfId="0" applyFont="1" applyAlignment="1">
      <alignment horizontal="left" indent="6"/>
    </xf>
    <xf numFmtId="0" fontId="37" fillId="0" borderId="0" xfId="0" applyFont="1" applyAlignment="1">
      <alignment horizontal="left" indent="2"/>
    </xf>
    <xf numFmtId="3" fontId="37" fillId="0" borderId="0" xfId="0" applyNumberFormat="1" applyFont="1" applyAlignment="1">
      <alignment shrinkToFit="1"/>
    </xf>
    <xf numFmtId="0" fontId="41" fillId="0" borderId="0" xfId="0" applyFont="1"/>
    <xf numFmtId="3" fontId="41" fillId="0" borderId="0" xfId="0" applyNumberFormat="1" applyFont="1" applyAlignment="1">
      <alignment shrinkToFit="1"/>
    </xf>
    <xf numFmtId="0" fontId="42" fillId="0" borderId="0" xfId="0" applyFont="1"/>
    <xf numFmtId="3" fontId="42" fillId="0" borderId="0" xfId="0" applyNumberFormat="1" applyFont="1" applyAlignment="1">
      <alignment shrinkToFit="1"/>
    </xf>
    <xf numFmtId="0" fontId="43" fillId="0" borderId="0" xfId="0" applyFont="1" applyAlignment="1">
      <alignment horizontal="left" indent="1"/>
    </xf>
    <xf numFmtId="0" fontId="43" fillId="0" borderId="0" xfId="0" applyFont="1"/>
    <xf numFmtId="0" fontId="42" fillId="0" borderId="0" xfId="0" applyFont="1" applyAlignment="1">
      <alignment horizontal="left" indent="2"/>
    </xf>
    <xf numFmtId="0" fontId="42"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xf>
    <xf numFmtId="3" fontId="18" fillId="0" borderId="0" xfId="0" applyNumberFormat="1" applyFont="1" applyAlignment="1">
      <alignment shrinkToFit="1"/>
    </xf>
    <xf numFmtId="4" fontId="11" fillId="0" borderId="0" xfId="0" applyNumberFormat="1" applyFont="1" applyAlignment="1">
      <alignment shrinkToFit="1"/>
    </xf>
    <xf numFmtId="4" fontId="18" fillId="0" borderId="0" xfId="0" applyNumberFormat="1" applyFont="1" applyAlignment="1">
      <alignment shrinkToFit="1"/>
    </xf>
    <xf numFmtId="0" fontId="11" fillId="0" borderId="0" xfId="0" applyFont="1" applyAlignment="1">
      <alignment horizontal="left" inden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44" fillId="0" borderId="0" xfId="0" applyFont="1" applyAlignment="1">
      <alignment horizontal="left"/>
    </xf>
    <xf numFmtId="0" fontId="44" fillId="0" borderId="0" xfId="0" applyFont="1"/>
    <xf numFmtId="4" fontId="17" fillId="0" borderId="0" xfId="0" applyNumberFormat="1" applyFont="1"/>
    <xf numFmtId="0" fontId="12" fillId="0" borderId="9" xfId="0" applyFont="1" applyBorder="1" applyAlignment="1">
      <alignment horizontal="left" wrapText="1"/>
    </xf>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7" xfId="0" applyFont="1" applyBorder="1" applyAlignment="1">
      <alignment horizontal="center"/>
    </xf>
    <xf numFmtId="0" fontId="46" fillId="0" borderId="0" xfId="0" applyFont="1"/>
    <xf numFmtId="0" fontId="18" fillId="0" borderId="0" xfId="0" applyFont="1" applyAlignment="1">
      <alignment horizontal="left" vertical="top"/>
    </xf>
    <xf numFmtId="4" fontId="18" fillId="0" borderId="0" xfId="0" applyNumberFormat="1" applyFont="1" applyAlignment="1">
      <alignment horizontal="right" vertical="top" shrinkToFit="1"/>
    </xf>
    <xf numFmtId="0" fontId="0" fillId="0" borderId="6" xfId="0" applyFill="1" applyBorder="1"/>
    <xf numFmtId="0" fontId="18" fillId="0" borderId="6" xfId="0" applyFont="1" applyFill="1" applyBorder="1" applyAlignment="1">
      <alignment horizontal="left" vertical="top"/>
    </xf>
    <xf numFmtId="4"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0" fontId="34" fillId="0" borderId="6" xfId="0" applyFont="1" applyFill="1" applyBorder="1" applyAlignment="1">
      <alignment horizontal="left" vertical="top" wrapText="1"/>
    </xf>
    <xf numFmtId="0" fontId="47" fillId="0" borderId="0" xfId="0" applyFont="1" applyAlignment="1">
      <alignment horizontal="left"/>
    </xf>
    <xf numFmtId="0" fontId="47" fillId="0" borderId="0" xfId="0" applyFont="1"/>
    <xf numFmtId="0" fontId="48" fillId="0" borderId="6" xfId="0" applyFont="1" applyFill="1" applyBorder="1" applyAlignment="1">
      <alignment horizontal="left" vertical="top" wrapText="1"/>
    </xf>
    <xf numFmtId="0" fontId="31" fillId="0" borderId="6" xfId="0" applyFont="1" applyFill="1" applyBorder="1" applyAlignment="1">
      <alignment horizontal="left" vertical="top" wrapText="1"/>
    </xf>
    <xf numFmtId="0" fontId="0" fillId="0" borderId="10" xfId="0" applyFill="1" applyBorder="1"/>
    <xf numFmtId="0" fontId="18" fillId="0" borderId="10" xfId="0" applyFont="1" applyFill="1" applyBorder="1" applyAlignment="1">
      <alignment horizontal="left" vertical="top"/>
    </xf>
    <xf numFmtId="4" fontId="18" fillId="0" borderId="10" xfId="0" applyNumberFormat="1" applyFont="1" applyFill="1" applyBorder="1" applyAlignment="1">
      <alignment horizontal="right" vertical="top" shrinkToFit="1"/>
    </xf>
    <xf numFmtId="0" fontId="0" fillId="0" borderId="8" xfId="0" applyBorder="1"/>
    <xf numFmtId="0" fontId="18" fillId="0" borderId="0" xfId="0" applyFont="1" applyAlignment="1">
      <alignment horizontal="left" vertical="top" indent="1"/>
    </xf>
    <xf numFmtId="0" fontId="50" fillId="0" borderId="0" xfId="0" applyFont="1" applyAlignment="1">
      <alignment wrapText="1"/>
    </xf>
    <xf numFmtId="0" fontId="2" fillId="0" borderId="0" xfId="0" applyNumberFormat="1" applyFont="1"/>
    <xf numFmtId="0" fontId="51" fillId="0" borderId="6" xfId="0" applyFont="1" applyFill="1" applyBorder="1" applyAlignment="1">
      <alignment horizontal="center" vertical="top" shrinkToFit="1"/>
    </xf>
    <xf numFmtId="0" fontId="51" fillId="0" borderId="6" xfId="0" applyFont="1" applyFill="1" applyBorder="1" applyAlignment="1">
      <alignment horizontal="left" vertical="top" wrapText="1"/>
    </xf>
    <xf numFmtId="0" fontId="51" fillId="0" borderId="6" xfId="0" applyFont="1" applyFill="1" applyBorder="1" applyAlignment="1">
      <alignment horizontal="right" shrinkToFit="1"/>
    </xf>
    <xf numFmtId="0" fontId="51" fillId="0" borderId="6" xfId="0" applyFont="1" applyFill="1" applyBorder="1"/>
    <xf numFmtId="0" fontId="34" fillId="0" borderId="6" xfId="0" applyFont="1" applyFill="1" applyBorder="1" applyAlignment="1">
      <alignment horizontal="center" vertical="top" shrinkToFit="1"/>
    </xf>
    <xf numFmtId="0" fontId="34" fillId="0" borderId="6" xfId="0" applyFont="1" applyFill="1" applyBorder="1" applyAlignment="1">
      <alignment horizontal="left" vertical="top" wrapText="1" indent="1"/>
    </xf>
    <xf numFmtId="0" fontId="34" fillId="0" borderId="6" xfId="0" applyFont="1" applyFill="1" applyBorder="1" applyAlignment="1">
      <alignment horizontal="right" shrinkToFit="1"/>
    </xf>
    <xf numFmtId="0" fontId="31" fillId="0" borderId="6" xfId="0" applyFont="1" applyFill="1" applyBorder="1" applyAlignment="1">
      <alignment horizontal="right" shrinkToFit="1"/>
    </xf>
    <xf numFmtId="0" fontId="34" fillId="0" borderId="6" xfId="0" applyFont="1" applyFill="1" applyBorder="1"/>
    <xf numFmtId="0" fontId="13" fillId="0" borderId="0" xfId="0" applyFont="1"/>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23" fillId="0" borderId="0" xfId="0" applyFont="1"/>
    <xf numFmtId="164" fontId="23" fillId="0" borderId="0" xfId="0" applyNumberFormat="1" applyFont="1"/>
    <xf numFmtId="0" fontId="0" fillId="0" borderId="0" xfId="0" applyAlignment="1">
      <alignment horizontal="center"/>
    </xf>
    <xf numFmtId="2" fontId="54" fillId="0" borderId="0" xfId="0" applyNumberFormat="1" applyFont="1" applyBorder="1" applyAlignment="1" applyProtection="1">
      <alignment horizontal="right"/>
    </xf>
    <xf numFmtId="2" fontId="53" fillId="0" borderId="0" xfId="0" applyNumberFormat="1" applyFont="1" applyAlignment="1" applyProtection="1">
      <alignment horizontal="center"/>
    </xf>
    <xf numFmtId="0" fontId="20" fillId="0" borderId="0" xfId="0" applyFont="1" applyAlignment="1"/>
    <xf numFmtId="0" fontId="55" fillId="0" borderId="0" xfId="0" applyFont="1" applyProtection="1"/>
    <xf numFmtId="0" fontId="0" fillId="0" borderId="0" xfId="0" applyAlignment="1"/>
    <xf numFmtId="0" fontId="56" fillId="0" borderId="0" xfId="0" applyFont="1" applyAlignment="1" applyProtection="1">
      <alignment vertical="center" wrapText="1"/>
    </xf>
    <xf numFmtId="0" fontId="57" fillId="0" borderId="0" xfId="0" applyFont="1" applyProtection="1"/>
    <xf numFmtId="0" fontId="58" fillId="0" borderId="0" xfId="0" applyFont="1"/>
    <xf numFmtId="2" fontId="59" fillId="2" borderId="0" xfId="1" applyNumberFormat="1" applyFont="1" applyFill="1" applyAlignment="1" applyProtection="1">
      <alignment horizontal="center"/>
      <protection locked="0"/>
    </xf>
    <xf numFmtId="2" fontId="53" fillId="2" borderId="0" xfId="1" applyNumberFormat="1" applyFont="1" applyFill="1" applyProtection="1">
      <protection locked="0"/>
    </xf>
    <xf numFmtId="0" fontId="53" fillId="2" borderId="0" xfId="1" applyFont="1" applyFill="1" applyBorder="1" applyAlignment="1" applyProtection="1">
      <alignment horizontal="left"/>
      <protection locked="0"/>
    </xf>
    <xf numFmtId="0" fontId="53" fillId="0" borderId="0" xfId="0" applyFont="1" applyBorder="1" applyAlignment="1" applyProtection="1">
      <alignment horizontal="left"/>
      <protection locked="0"/>
    </xf>
    <xf numFmtId="0" fontId="59" fillId="0" borderId="0" xfId="0" applyFont="1" applyAlignment="1" applyProtection="1">
      <alignment horizontal="center"/>
      <protection locked="0"/>
    </xf>
    <xf numFmtId="2" fontId="59" fillId="0" borderId="0" xfId="0" applyNumberFormat="1" applyFont="1" applyProtection="1">
      <protection locked="0"/>
    </xf>
    <xf numFmtId="2" fontId="55" fillId="0" borderId="0" xfId="1" applyNumberFormat="1" applyFont="1" applyProtection="1"/>
    <xf numFmtId="0" fontId="59" fillId="0" borderId="0" xfId="0" applyFont="1" applyBorder="1" applyAlignment="1" applyProtection="1">
      <alignment horizontal="left"/>
      <protection locked="0"/>
    </xf>
    <xf numFmtId="0" fontId="59" fillId="0" borderId="0" xfId="0" applyNumberFormat="1" applyFont="1" applyFill="1" applyBorder="1" applyAlignment="1" applyProtection="1">
      <alignment vertical="top"/>
    </xf>
    <xf numFmtId="0" fontId="59" fillId="0" borderId="0" xfId="0" applyNumberFormat="1" applyFont="1" applyFill="1" applyBorder="1" applyAlignment="1" applyProtection="1">
      <alignment horizontal="justify" vertical="top"/>
    </xf>
    <xf numFmtId="0" fontId="53" fillId="0" borderId="0" xfId="1" applyFont="1" applyBorder="1" applyAlignment="1" applyProtection="1">
      <protection locked="0"/>
    </xf>
    <xf numFmtId="49" fontId="0" fillId="0" borderId="0" xfId="0" applyNumberFormat="1" applyAlignment="1">
      <alignment horizontal="justify" vertical="top" wrapText="1"/>
    </xf>
    <xf numFmtId="2" fontId="59" fillId="0" borderId="0" xfId="0" applyNumberFormat="1" applyFont="1" applyFill="1" applyBorder="1" applyAlignment="1" applyProtection="1">
      <alignment vertical="top"/>
    </xf>
    <xf numFmtId="0" fontId="59" fillId="0" borderId="0" xfId="0" applyNumberFormat="1" applyFont="1" applyFill="1" applyBorder="1" applyAlignment="1" applyProtection="1">
      <alignment horizontal="left" vertical="top"/>
    </xf>
    <xf numFmtId="2" fontId="59" fillId="0" borderId="0" xfId="0" applyNumberFormat="1" applyFont="1" applyFill="1" applyBorder="1" applyAlignment="1" applyProtection="1">
      <alignment horizontal="left" vertical="top"/>
    </xf>
    <xf numFmtId="0" fontId="55" fillId="0" borderId="0" xfId="1" applyFont="1" applyBorder="1" applyAlignment="1" applyProtection="1">
      <alignment horizontal="center"/>
    </xf>
    <xf numFmtId="2" fontId="55" fillId="0" borderId="0" xfId="1" applyNumberFormat="1" applyFont="1" applyBorder="1" applyProtection="1"/>
    <xf numFmtId="0" fontId="59" fillId="0" borderId="9" xfId="1" applyFont="1" applyFill="1" applyBorder="1" applyAlignment="1" applyProtection="1">
      <alignment horizontal="left"/>
    </xf>
    <xf numFmtId="0" fontId="59" fillId="0" borderId="0" xfId="1" applyFont="1" applyFill="1" applyBorder="1" applyAlignment="1" applyProtection="1">
      <alignment horizontal="center"/>
    </xf>
    <xf numFmtId="2" fontId="59" fillId="0" borderId="9" xfId="1" applyNumberFormat="1" applyFont="1" applyFill="1" applyBorder="1" applyProtection="1"/>
    <xf numFmtId="2" fontId="55" fillId="0" borderId="0" xfId="1" applyNumberFormat="1" applyFont="1" applyFill="1" applyProtection="1"/>
    <xf numFmtId="0" fontId="12" fillId="0" borderId="9" xfId="0" applyFont="1" applyBorder="1" applyAlignment="1">
      <alignment horizontal="left" wrapText="1"/>
    </xf>
    <xf numFmtId="0" fontId="47" fillId="0" borderId="3" xfId="0" applyFont="1" applyBorder="1" applyAlignment="1">
      <alignment horizontal="center"/>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5"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9"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9" fillId="0" borderId="6" xfId="0" applyFont="1" applyFill="1" applyBorder="1" applyAlignment="1">
      <alignment horizontal="left" wrapText="1"/>
    </xf>
    <xf numFmtId="0" fontId="0" fillId="0" borderId="6" xfId="0" applyFill="1" applyBorder="1" applyAlignment="1">
      <alignment horizontal="left"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13" fillId="0" borderId="0" xfId="0" applyFont="1"/>
    <xf numFmtId="0" fontId="11" fillId="0" borderId="0" xfId="0" applyFont="1" applyAlignment="1">
      <alignment horizontal="center" wrapText="1"/>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59" fillId="0" borderId="0" xfId="0" applyNumberFormat="1" applyFont="1" applyFill="1" applyBorder="1" applyAlignment="1" applyProtection="1">
      <alignment horizontal="justify" vertical="top"/>
    </xf>
    <xf numFmtId="0" fontId="53" fillId="0" borderId="0" xfId="1" applyNumberFormat="1" applyFont="1" applyFill="1" applyBorder="1" applyAlignment="1" applyProtection="1">
      <alignment horizontal="justify" vertical="top"/>
    </xf>
    <xf numFmtId="0" fontId="59" fillId="0" borderId="0" xfId="0" applyNumberFormat="1" applyFont="1" applyFill="1" applyBorder="1" applyAlignment="1" applyProtection="1">
      <alignment horizontal="left" vertical="top" wrapText="1"/>
    </xf>
    <xf numFmtId="0" fontId="0" fillId="0" borderId="0" xfId="0" applyAlignment="1">
      <alignment horizontal="justify" vertical="top"/>
    </xf>
    <xf numFmtId="0" fontId="59" fillId="0" borderId="0" xfId="0" applyNumberFormat="1" applyFont="1" applyFill="1" applyBorder="1" applyAlignment="1" applyProtection="1">
      <alignment horizontal="left" vertical="top"/>
    </xf>
    <xf numFmtId="0" fontId="53" fillId="0" borderId="0" xfId="0" applyFont="1" applyBorder="1" applyAlignment="1" applyProtection="1">
      <alignment horizontal="left" wrapText="1"/>
      <protection locked="0"/>
    </xf>
    <xf numFmtId="0" fontId="53" fillId="0" borderId="0" xfId="1" applyFont="1" applyBorder="1" applyAlignment="1" applyProtection="1">
      <alignment horizontal="left" wrapText="1"/>
      <protection locked="0"/>
    </xf>
    <xf numFmtId="49" fontId="22" fillId="0" borderId="0" xfId="0" applyNumberFormat="1" applyFont="1" applyAlignment="1">
      <alignment horizontal="left" vertical="top" wrapText="1"/>
    </xf>
    <xf numFmtId="0" fontId="53" fillId="0" borderId="0" xfId="0" applyFont="1" applyBorder="1" applyAlignment="1" applyProtection="1">
      <alignment horizontal="left" vertical="center" wrapText="1"/>
      <protection locked="0"/>
    </xf>
    <xf numFmtId="0" fontId="53" fillId="2" borderId="0" xfId="1" applyFont="1" applyFill="1" applyBorder="1" applyAlignment="1" applyProtection="1">
      <alignment horizontal="left"/>
      <protection locked="0"/>
    </xf>
    <xf numFmtId="0" fontId="18" fillId="2" borderId="0" xfId="0" applyFont="1" applyFill="1" applyAlignment="1">
      <alignment horizontal="left" wrapText="1"/>
    </xf>
    <xf numFmtId="0" fontId="53" fillId="0" borderId="0" xfId="0" applyFont="1" applyAlignment="1" applyProtection="1">
      <alignment horizontal="center"/>
    </xf>
    <xf numFmtId="0" fontId="0" fillId="0" borderId="0" xfId="0" applyAlignment="1">
      <alignment horizontal="center"/>
    </xf>
    <xf numFmtId="2" fontId="53" fillId="0" borderId="0" xfId="0" applyNumberFormat="1" applyFont="1" applyAlignment="1" applyProtection="1">
      <alignment horizontal="center"/>
    </xf>
    <xf numFmtId="2" fontId="54" fillId="0" borderId="0" xfId="0" applyNumberFormat="1" applyFont="1" applyBorder="1" applyAlignment="1" applyProtection="1">
      <alignment horizontal="right"/>
    </xf>
    <xf numFmtId="0" fontId="22" fillId="0" borderId="0" xfId="0" applyFont="1" applyAlignment="1">
      <alignment horizontal="left" vertical="top" wrapText="1"/>
    </xf>
    <xf numFmtId="0" fontId="0" fillId="0" borderId="0" xfId="0" applyAlignment="1"/>
    <xf numFmtId="0" fontId="25" fillId="0" borderId="0" xfId="0" applyFont="1" applyAlignment="1">
      <alignment horizontal="left" vertical="top" wrapTex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0" fontId="52" fillId="0" borderId="0" xfId="0" applyFont="1" applyAlignment="1">
      <alignment horizontal="right" vertical="top" wrapText="1"/>
    </xf>
    <xf numFmtId="0" fontId="52" fillId="0" borderId="0" xfId="0" applyFont="1" applyAlignment="1">
      <alignment horizontal="left"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38" xfId="0" applyFont="1" applyBorder="1" applyAlignment="1">
      <alignment horizontal="center" vertical="top" wrapText="1"/>
    </xf>
    <xf numFmtId="0" fontId="23" fillId="0" borderId="0" xfId="0" applyFont="1" applyAlignment="1">
      <alignment horizontal="center" wrapText="1"/>
    </xf>
    <xf numFmtId="0" fontId="14" fillId="0" borderId="0" xfId="0" applyFont="1" applyAlignment="1">
      <alignment horizontal="right" vertical="top"/>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0" xfId="0" applyFont="1" applyAlignment="1">
      <alignment horizontal="right"/>
    </xf>
    <xf numFmtId="0" fontId="44" fillId="0" borderId="3" xfId="0" applyFont="1" applyBorder="1" applyAlignment="1">
      <alignment horizontal="center"/>
    </xf>
    <xf numFmtId="0" fontId="0" fillId="0" borderId="1" xfId="0" applyBorder="1" applyAlignment="1"/>
    <xf numFmtId="0" fontId="0" fillId="0" borderId="36" xfId="0" applyBorder="1" applyAlignment="1"/>
    <xf numFmtId="0" fontId="0" fillId="0" borderId="37" xfId="0" applyBorder="1" applyAlignment="1"/>
    <xf numFmtId="3" fontId="36" fillId="0" borderId="33" xfId="0" applyNumberFormat="1" applyFont="1" applyBorder="1" applyAlignment="1">
      <alignment vertical="top" shrinkToFit="1"/>
    </xf>
    <xf numFmtId="3" fontId="36" fillId="0" borderId="34" xfId="0" applyNumberFormat="1" applyFont="1" applyBorder="1" applyAlignment="1">
      <alignment vertical="top" shrinkToFit="1"/>
    </xf>
    <xf numFmtId="3" fontId="36" fillId="0" borderId="35"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19" xfId="0" applyNumberFormat="1" applyFont="1" applyBorder="1" applyAlignment="1">
      <alignment vertical="top" shrinkToFit="1"/>
    </xf>
    <xf numFmtId="3" fontId="18" fillId="0" borderId="21" xfId="0" applyNumberFormat="1" applyFont="1" applyBorder="1" applyAlignment="1">
      <alignment vertical="top" shrinkToFi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8" fillId="0" borderId="3" xfId="0" applyFont="1" applyBorder="1" applyAlignment="1">
      <alignment horizontal="left" vertical="top" wrapText="1"/>
    </xf>
    <xf numFmtId="49" fontId="12" fillId="0" borderId="2" xfId="0" applyNumberFormat="1" applyFont="1" applyBorder="1" applyAlignment="1">
      <alignment horizontal="center"/>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0" fillId="0" borderId="8" xfId="0" applyNumberFormat="1" applyBorder="1" applyAlignment="1">
      <alignment horizontal="center"/>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66"/>
  <sheetViews>
    <sheetView workbookViewId="0">
      <selection sqref="A1:K1"/>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0" hidden="1" customWidth="1"/>
    <col min="73" max="73" width="125.7109375" hidden="1" customWidth="1"/>
    <col min="74" max="76" width="0" hidden="1" customWidth="1"/>
    <col min="77" max="77" width="37.7109375" hidden="1" customWidth="1"/>
    <col min="78" max="78" width="19.7109375" hidden="1" customWidth="1"/>
    <col min="79" max="79" width="37.7109375" hidden="1" customWidth="1"/>
    <col min="80" max="256" width="0" hidden="1" customWidth="1"/>
  </cols>
  <sheetData>
    <row r="1" spans="1:255" s="15" customFormat="1" ht="11.25" x14ac:dyDescent="0.2">
      <c r="A1" s="267" t="s">
        <v>290</v>
      </c>
      <c r="B1" s="267"/>
      <c r="C1" s="267"/>
      <c r="D1" s="267"/>
      <c r="E1" s="267"/>
      <c r="F1" s="267"/>
      <c r="G1" s="267"/>
      <c r="H1" s="267"/>
      <c r="I1" s="267"/>
      <c r="J1" s="267"/>
      <c r="K1" s="267"/>
    </row>
    <row r="2" spans="1:255" x14ac:dyDescent="0.2">
      <c r="H2" s="268" t="s">
        <v>483</v>
      </c>
      <c r="I2" s="268"/>
      <c r="J2" s="268"/>
      <c r="K2" s="268"/>
    </row>
    <row r="3" spans="1:255" x14ac:dyDescent="0.2">
      <c r="H3" s="268"/>
      <c r="I3" s="268"/>
      <c r="J3" s="268"/>
      <c r="K3" s="268"/>
      <c r="CA3" s="22">
        <f>H3</f>
        <v>0</v>
      </c>
      <c r="IU3" s="23"/>
    </row>
    <row r="4" spans="1:255" x14ac:dyDescent="0.2">
      <c r="H4" s="268"/>
      <c r="I4" s="268"/>
      <c r="J4" s="268"/>
      <c r="K4" s="268"/>
      <c r="CA4" s="22">
        <f>H4</f>
        <v>0</v>
      </c>
      <c r="IU4" s="23"/>
    </row>
    <row r="5" spans="1:255" x14ac:dyDescent="0.2">
      <c r="H5" s="268"/>
      <c r="I5" s="268"/>
      <c r="J5" s="268"/>
      <c r="K5" s="268"/>
    </row>
    <row r="6" spans="1:255" x14ac:dyDescent="0.2">
      <c r="H6" s="268" t="s">
        <v>484</v>
      </c>
      <c r="I6" s="268"/>
      <c r="J6" s="268"/>
      <c r="K6" s="268"/>
    </row>
    <row r="7" spans="1:255" x14ac:dyDescent="0.2">
      <c r="H7" s="268"/>
      <c r="I7" s="268"/>
      <c r="J7" s="268"/>
      <c r="K7" s="268"/>
      <c r="CA7" s="22">
        <f>H7</f>
        <v>0</v>
      </c>
      <c r="IU7" s="23"/>
    </row>
    <row r="8" spans="1:255" x14ac:dyDescent="0.2">
      <c r="H8" s="268" t="s">
        <v>485</v>
      </c>
      <c r="I8" s="268"/>
      <c r="J8" s="268"/>
      <c r="K8" s="268"/>
    </row>
    <row r="11" spans="1:255" x14ac:dyDescent="0.2">
      <c r="A11" s="20" t="s">
        <v>297</v>
      </c>
      <c r="B11" s="19"/>
      <c r="C11" s="269"/>
      <c r="D11" s="270"/>
      <c r="E11" s="270"/>
      <c r="F11" s="270"/>
      <c r="G11" s="270"/>
      <c r="H11" s="270"/>
      <c r="I11" s="270"/>
      <c r="J11" s="270"/>
      <c r="K11" s="270"/>
      <c r="BR11" s="22">
        <f>C11</f>
        <v>0</v>
      </c>
      <c r="IU11" s="23"/>
    </row>
    <row r="12" spans="1:255" x14ac:dyDescent="0.2">
      <c r="A12" s="20" t="s">
        <v>299</v>
      </c>
      <c r="B12" s="19"/>
      <c r="C12" s="271"/>
      <c r="D12" s="272"/>
      <c r="E12" s="272"/>
      <c r="F12" s="272"/>
      <c r="G12" s="272"/>
      <c r="H12" s="272"/>
      <c r="I12" s="272"/>
      <c r="J12" s="272"/>
      <c r="K12" s="272"/>
      <c r="BR12" s="22">
        <f>C12</f>
        <v>0</v>
      </c>
      <c r="IU12" s="23"/>
    </row>
    <row r="13" spans="1:255" x14ac:dyDescent="0.2">
      <c r="A13" s="20" t="s">
        <v>300</v>
      </c>
      <c r="B13" s="19"/>
      <c r="C13" s="271"/>
      <c r="D13" s="272"/>
      <c r="E13" s="272"/>
      <c r="F13" s="272"/>
      <c r="G13" s="272"/>
      <c r="H13" s="272"/>
      <c r="I13" s="272"/>
      <c r="J13" s="272"/>
      <c r="K13" s="272"/>
      <c r="BR13" s="22">
        <f>C13</f>
        <v>0</v>
      </c>
      <c r="IU13" s="23"/>
    </row>
    <row r="14" spans="1:255" x14ac:dyDescent="0.2">
      <c r="A14" s="20" t="s">
        <v>301</v>
      </c>
      <c r="B14" s="19"/>
      <c r="C14" s="265"/>
      <c r="D14" s="266"/>
      <c r="E14" s="266"/>
      <c r="F14" s="266"/>
      <c r="G14" s="266"/>
      <c r="H14" s="266"/>
      <c r="I14" s="266"/>
      <c r="J14" s="266"/>
      <c r="K14" s="266"/>
      <c r="BR14" s="22">
        <f>C14</f>
        <v>0</v>
      </c>
      <c r="IU14" s="23"/>
    </row>
    <row r="15" spans="1:255" x14ac:dyDescent="0.2">
      <c r="A15" s="254"/>
      <c r="B15" s="254"/>
      <c r="C15" s="254"/>
      <c r="D15" s="254"/>
      <c r="E15" s="254"/>
      <c r="F15" s="254"/>
      <c r="G15" s="254"/>
      <c r="H15" s="254"/>
      <c r="I15" s="254"/>
      <c r="J15" s="254"/>
      <c r="K15" s="254"/>
    </row>
    <row r="16" spans="1:255" ht="18.75" x14ac:dyDescent="0.3">
      <c r="A16" s="255" t="s">
        <v>486</v>
      </c>
      <c r="B16" s="255"/>
      <c r="C16" s="255"/>
      <c r="D16" s="255"/>
      <c r="E16" s="255"/>
      <c r="F16" s="255"/>
      <c r="G16" s="255"/>
      <c r="H16" s="255"/>
      <c r="I16" s="255"/>
      <c r="J16" s="255"/>
      <c r="K16" s="255"/>
    </row>
    <row r="17" spans="1:255" x14ac:dyDescent="0.2">
      <c r="A17" s="256" t="s">
        <v>487</v>
      </c>
      <c r="B17" s="256"/>
      <c r="C17" s="256"/>
      <c r="D17" s="256"/>
      <c r="E17" s="256"/>
      <c r="F17" s="256"/>
      <c r="G17" s="256"/>
      <c r="H17" s="256"/>
      <c r="I17" s="256"/>
      <c r="J17" s="256"/>
      <c r="K17" s="256"/>
    </row>
    <row r="18" spans="1:255" x14ac:dyDescent="0.2">
      <c r="A18" s="256" t="s">
        <v>8</v>
      </c>
      <c r="B18" s="256"/>
      <c r="C18" s="256"/>
      <c r="D18" s="256"/>
      <c r="E18" s="256"/>
      <c r="F18" s="256"/>
      <c r="G18" s="256"/>
      <c r="H18" s="256"/>
      <c r="I18" s="256"/>
      <c r="J18" s="256"/>
      <c r="K18" s="256"/>
    </row>
    <row r="19" spans="1:255" ht="31.5" x14ac:dyDescent="0.25">
      <c r="A19" s="14" t="s">
        <v>303</v>
      </c>
      <c r="B19" s="257" t="s">
        <v>5</v>
      </c>
      <c r="C19" s="257"/>
      <c r="D19" s="257"/>
      <c r="E19" s="257"/>
      <c r="F19" s="257"/>
      <c r="G19" s="257"/>
      <c r="H19" s="257"/>
      <c r="I19" s="257"/>
      <c r="J19" s="257"/>
      <c r="K19" s="257"/>
      <c r="BS19" s="180" t="str">
        <f>B19</f>
        <v>Комплекс из 2-х многоквартирных домов, расположенных по адресу г.Орел, б-р Молодежи, участок 2а. 1-й этап строительства - многоквартирный дом корпус 2 (поз.1)</v>
      </c>
      <c r="IU19" s="23"/>
    </row>
    <row r="21" spans="1:255" x14ac:dyDescent="0.2">
      <c r="A21" s="181" t="s">
        <v>438</v>
      </c>
      <c r="B21" s="181" t="s">
        <v>440</v>
      </c>
      <c r="C21" s="181" t="s">
        <v>443</v>
      </c>
      <c r="D21" s="181" t="s">
        <v>445</v>
      </c>
      <c r="E21" s="181" t="s">
        <v>489</v>
      </c>
      <c r="F21" s="258" t="s">
        <v>491</v>
      </c>
      <c r="G21" s="259"/>
      <c r="H21" s="259"/>
      <c r="I21" s="181" t="s">
        <v>496</v>
      </c>
      <c r="J21" s="181"/>
      <c r="K21" s="182" t="s">
        <v>499</v>
      </c>
    </row>
    <row r="22" spans="1:255" x14ac:dyDescent="0.2">
      <c r="A22" s="183" t="s">
        <v>439</v>
      </c>
      <c r="B22" s="183" t="s">
        <v>441</v>
      </c>
      <c r="C22" s="183" t="s">
        <v>488</v>
      </c>
      <c r="D22" s="183" t="s">
        <v>446</v>
      </c>
      <c r="E22" s="183" t="s">
        <v>490</v>
      </c>
      <c r="F22" s="181" t="s">
        <v>492</v>
      </c>
      <c r="G22" s="181" t="s">
        <v>494</v>
      </c>
      <c r="H22" s="181" t="s">
        <v>495</v>
      </c>
      <c r="I22" s="183" t="s">
        <v>497</v>
      </c>
      <c r="J22" s="183" t="s">
        <v>498</v>
      </c>
      <c r="K22" s="184" t="s">
        <v>500</v>
      </c>
    </row>
    <row r="23" spans="1:255" x14ac:dyDescent="0.2">
      <c r="A23" s="183"/>
      <c r="B23" s="183" t="s">
        <v>442</v>
      </c>
      <c r="C23" s="183"/>
      <c r="D23" s="183" t="s">
        <v>447</v>
      </c>
      <c r="E23" s="183"/>
      <c r="F23" s="183" t="s">
        <v>493</v>
      </c>
      <c r="G23" s="183"/>
      <c r="H23" s="183"/>
      <c r="I23" s="183"/>
      <c r="J23" s="183"/>
      <c r="K23" s="184" t="s">
        <v>501</v>
      </c>
    </row>
    <row r="24" spans="1:255" x14ac:dyDescent="0.2">
      <c r="A24" s="181">
        <v>1</v>
      </c>
      <c r="B24" s="181">
        <v>2</v>
      </c>
      <c r="C24" s="181">
        <v>3</v>
      </c>
      <c r="D24" s="181">
        <v>4</v>
      </c>
      <c r="E24" s="181">
        <v>5</v>
      </c>
      <c r="F24" s="181">
        <v>6</v>
      </c>
      <c r="G24" s="181">
        <v>7</v>
      </c>
      <c r="H24" s="181">
        <v>8</v>
      </c>
      <c r="I24" s="181">
        <v>9</v>
      </c>
      <c r="J24" s="181">
        <v>10</v>
      </c>
      <c r="K24" s="182">
        <v>11</v>
      </c>
    </row>
    <row r="25" spans="1:255" ht="15" x14ac:dyDescent="0.25">
      <c r="A25" s="260" t="s">
        <v>502</v>
      </c>
      <c r="B25" s="261"/>
      <c r="C25" s="261"/>
      <c r="D25" s="261"/>
      <c r="E25" s="261"/>
      <c r="F25" s="261"/>
      <c r="G25" s="261"/>
      <c r="H25" s="261"/>
      <c r="I25" s="261"/>
      <c r="J25" s="261"/>
      <c r="K25" s="262"/>
      <c r="BU25" s="206" t="str">
        <f>A25</f>
        <v>Смета: Отделка помещений квартир типа "Теплый White Box"</v>
      </c>
      <c r="IU25" s="23"/>
    </row>
    <row r="26" spans="1:255" ht="30" x14ac:dyDescent="0.25">
      <c r="A26" s="263" t="s">
        <v>18</v>
      </c>
      <c r="B26" s="264"/>
      <c r="C26" s="264"/>
      <c r="D26" s="264"/>
      <c r="E26" s="264"/>
      <c r="F26" s="264"/>
      <c r="G26" s="264"/>
      <c r="H26" s="264"/>
      <c r="I26" s="264"/>
      <c r="J26" s="264"/>
      <c r="K26" s="264"/>
      <c r="BU26" s="206" t="str">
        <f>A26</f>
        <v>Квартиры типа "White Box" №№ 83, 8, 37, 65, 190, 177, 152, 91, 70, 124, 56, 156, 99, 136, 131, 174, 164, 68, 161, 80, 105, 73, 178, 141, 23, 50, 115, 187, 193, 67, 199, 53, 184, 179, 78, 2(ШОУРУМ).</v>
      </c>
      <c r="IU26" s="23"/>
    </row>
    <row r="27" spans="1:255" ht="15" x14ac:dyDescent="0.25">
      <c r="A27" s="263" t="s">
        <v>19</v>
      </c>
      <c r="B27" s="264"/>
      <c r="C27" s="264"/>
      <c r="D27" s="264"/>
      <c r="E27" s="264"/>
      <c r="F27" s="264"/>
      <c r="G27" s="264"/>
      <c r="H27" s="264"/>
      <c r="I27" s="264"/>
      <c r="J27" s="264"/>
      <c r="K27" s="264"/>
      <c r="BU27" s="206" t="str">
        <f>A27</f>
        <v>Потолок</v>
      </c>
      <c r="IU27" s="23"/>
    </row>
    <row r="28" spans="1:255" ht="36" x14ac:dyDescent="0.2">
      <c r="A28" s="208" t="s">
        <v>20</v>
      </c>
      <c r="B28" s="209" t="s">
        <v>21</v>
      </c>
      <c r="C28" s="209" t="s">
        <v>22</v>
      </c>
      <c r="D28" s="209" t="s">
        <v>23</v>
      </c>
      <c r="E28" s="210">
        <f>Source!I26</f>
        <v>19.164000000000001</v>
      </c>
      <c r="F28" s="210"/>
      <c r="G28" s="210"/>
      <c r="H28" s="210"/>
      <c r="I28" s="210"/>
      <c r="J28" s="211"/>
      <c r="K28" s="211"/>
    </row>
    <row r="29" spans="1:255" x14ac:dyDescent="0.2">
      <c r="A29" s="212"/>
      <c r="B29" s="196" t="s">
        <v>503</v>
      </c>
      <c r="C29" s="213" t="s">
        <v>32</v>
      </c>
      <c r="D29" s="196" t="s">
        <v>33</v>
      </c>
      <c r="E29" s="214"/>
      <c r="F29" s="214">
        <v>9.9999999999999992E-2</v>
      </c>
      <c r="G29" s="214">
        <f>F29*E28</f>
        <v>1.9163999999999999</v>
      </c>
      <c r="H29" s="214">
        <f>G29</f>
        <v>1.9163999999999999</v>
      </c>
      <c r="I29" s="215" t="str">
        <f>IF(AND((G29-H29)&lt;0,H29&gt;0),ABS(G29-H29)," ")</f>
        <v xml:space="preserve"> </v>
      </c>
      <c r="J29" s="216" t="str">
        <f>IF(AND((G29-H29)&gt;0, H29&gt;0),G29-H29," ")</f>
        <v xml:space="preserve"> </v>
      </c>
      <c r="K29" s="216"/>
    </row>
    <row r="30" spans="1:255" ht="24" x14ac:dyDescent="0.2">
      <c r="A30" s="212"/>
      <c r="B30" s="196" t="s">
        <v>42</v>
      </c>
      <c r="C30" s="213" t="s">
        <v>43</v>
      </c>
      <c r="D30" s="196" t="s">
        <v>44</v>
      </c>
      <c r="E30" s="214"/>
      <c r="F30" s="214">
        <v>1.2999999999999999E-2</v>
      </c>
      <c r="G30" s="214">
        <f>F30*E28</f>
        <v>0.24913200000000002</v>
      </c>
      <c r="H30" s="214">
        <f>G30</f>
        <v>0.24913200000000002</v>
      </c>
      <c r="I30" s="215" t="str">
        <f>IF(AND((G30-H30)&lt;0,H30&gt;0),ABS(G30-H30)," ")</f>
        <v xml:space="preserve"> </v>
      </c>
      <c r="J30" s="216" t="str">
        <f>IF(AND((G30-H30)&gt;0, H30&gt;0),G30-H30," ")</f>
        <v xml:space="preserve"> </v>
      </c>
      <c r="K30" s="216"/>
    </row>
    <row r="31" spans="1:255" ht="15" x14ac:dyDescent="0.25">
      <c r="A31" s="263" t="s">
        <v>47</v>
      </c>
      <c r="B31" s="264"/>
      <c r="C31" s="264"/>
      <c r="D31" s="264"/>
      <c r="E31" s="264"/>
      <c r="F31" s="264"/>
      <c r="G31" s="264"/>
      <c r="H31" s="264"/>
      <c r="I31" s="264"/>
      <c r="J31" s="264"/>
      <c r="K31" s="264"/>
      <c r="BU31" s="206" t="str">
        <f>A31</f>
        <v>Стены</v>
      </c>
      <c r="IU31" s="23"/>
    </row>
    <row r="32" spans="1:255" ht="24" x14ac:dyDescent="0.2">
      <c r="A32" s="208" t="s">
        <v>40</v>
      </c>
      <c r="B32" s="209" t="s">
        <v>48</v>
      </c>
      <c r="C32" s="209" t="s">
        <v>49</v>
      </c>
      <c r="D32" s="209" t="s">
        <v>50</v>
      </c>
      <c r="E32" s="210">
        <f>Source!I33</f>
        <v>27.713000000000001</v>
      </c>
      <c r="F32" s="210"/>
      <c r="G32" s="210"/>
      <c r="H32" s="210"/>
      <c r="I32" s="210"/>
      <c r="J32" s="211"/>
      <c r="K32" s="211"/>
    </row>
    <row r="33" spans="1:11" x14ac:dyDescent="0.2">
      <c r="A33" s="212"/>
      <c r="B33" s="196" t="s">
        <v>503</v>
      </c>
      <c r="C33" s="213" t="s">
        <v>32</v>
      </c>
      <c r="D33" s="196" t="s">
        <v>33</v>
      </c>
      <c r="E33" s="214"/>
      <c r="F33" s="214">
        <v>0.1</v>
      </c>
      <c r="G33" s="214">
        <f>F33*E32</f>
        <v>2.7713000000000001</v>
      </c>
      <c r="H33" s="214">
        <f>G33</f>
        <v>2.7713000000000001</v>
      </c>
      <c r="I33" s="215" t="str">
        <f>IF(AND((G33-H33)&lt;0,H33&gt;0),ABS(G33-H33)," ")</f>
        <v xml:space="preserve"> </v>
      </c>
      <c r="J33" s="216" t="str">
        <f>IF(AND((G33-H33)&gt;0, H33&gt;0),G33-H33," ")</f>
        <v xml:space="preserve"> </v>
      </c>
      <c r="K33" s="216"/>
    </row>
    <row r="34" spans="1:11" ht="24" x14ac:dyDescent="0.2">
      <c r="A34" s="212"/>
      <c r="B34" s="196" t="s">
        <v>42</v>
      </c>
      <c r="C34" s="213" t="s">
        <v>55</v>
      </c>
      <c r="D34" s="196" t="s">
        <v>44</v>
      </c>
      <c r="E34" s="214"/>
      <c r="F34" s="214">
        <v>1.3200014433659294E-2</v>
      </c>
      <c r="G34" s="214">
        <f>F34*E32</f>
        <v>0.36581200000000003</v>
      </c>
      <c r="H34" s="214">
        <f>G34</f>
        <v>0.36581200000000003</v>
      </c>
      <c r="I34" s="215" t="str">
        <f>IF(AND((G34-H34)&lt;0,H34&gt;0),ABS(G34-H34)," ")</f>
        <v xml:space="preserve"> </v>
      </c>
      <c r="J34" s="216" t="str">
        <f>IF(AND((G34-H34)&gt;0, H34&gt;0),G34-H34," ")</f>
        <v xml:space="preserve"> </v>
      </c>
      <c r="K34" s="216"/>
    </row>
    <row r="35" spans="1:11" ht="36" x14ac:dyDescent="0.2">
      <c r="A35" s="208" t="s">
        <v>56</v>
      </c>
      <c r="B35" s="209" t="s">
        <v>57</v>
      </c>
      <c r="C35" s="209" t="s">
        <v>58</v>
      </c>
      <c r="D35" s="209" t="s">
        <v>50</v>
      </c>
      <c r="E35" s="210">
        <f>Source!I39</f>
        <v>29.483000000000001</v>
      </c>
      <c r="F35" s="210"/>
      <c r="G35" s="210"/>
      <c r="H35" s="210"/>
      <c r="I35" s="210"/>
      <c r="J35" s="211"/>
      <c r="K35" s="211"/>
    </row>
    <row r="36" spans="1:11" ht="24" x14ac:dyDescent="0.2">
      <c r="A36" s="212"/>
      <c r="B36" s="196" t="s">
        <v>61</v>
      </c>
      <c r="C36" s="213" t="s">
        <v>62</v>
      </c>
      <c r="D36" s="196" t="s">
        <v>63</v>
      </c>
      <c r="E36" s="214"/>
      <c r="F36" s="214">
        <v>1.2E-2</v>
      </c>
      <c r="G36" s="214">
        <f>F36*E35</f>
        <v>0.353796</v>
      </c>
      <c r="H36" s="214">
        <f>G36</f>
        <v>0.353796</v>
      </c>
      <c r="I36" s="215" t="str">
        <f>IF(AND((G36-H36)&lt;0,H36&gt;0),ABS(G36-H36)," ")</f>
        <v xml:space="preserve"> </v>
      </c>
      <c r="J36" s="216" t="str">
        <f>IF(AND((G36-H36)&gt;0, H36&gt;0),G36-H36," ")</f>
        <v xml:space="preserve"> </v>
      </c>
      <c r="K36" s="216"/>
    </row>
    <row r="37" spans="1:11" x14ac:dyDescent="0.2">
      <c r="A37" s="212"/>
      <c r="B37" s="196" t="s">
        <v>67</v>
      </c>
      <c r="C37" s="213" t="s">
        <v>68</v>
      </c>
      <c r="D37" s="196" t="s">
        <v>44</v>
      </c>
      <c r="E37" s="214"/>
      <c r="F37" s="214">
        <v>5.2999999999999999E-2</v>
      </c>
      <c r="G37" s="214">
        <f>F37*E35</f>
        <v>1.5625990000000001</v>
      </c>
      <c r="H37" s="214">
        <f>G37</f>
        <v>1.5625990000000001</v>
      </c>
      <c r="I37" s="215" t="str">
        <f>IF(AND((G37-H37)&lt;0,H37&gt;0),ABS(G37-H37)," ")</f>
        <v xml:space="preserve"> </v>
      </c>
      <c r="J37" s="216" t="str">
        <f>IF(AND((G37-H37)&gt;0, H37&gt;0),G37-H37," ")</f>
        <v xml:space="preserve"> </v>
      </c>
      <c r="K37" s="216"/>
    </row>
    <row r="38" spans="1:11" x14ac:dyDescent="0.2">
      <c r="A38" s="212"/>
      <c r="B38" s="196" t="s">
        <v>503</v>
      </c>
      <c r="C38" s="213" t="s">
        <v>32</v>
      </c>
      <c r="D38" s="196" t="s">
        <v>33</v>
      </c>
      <c r="E38" s="214"/>
      <c r="F38" s="214">
        <v>0.15000000000000002</v>
      </c>
      <c r="G38" s="214">
        <f>F38*E35</f>
        <v>4.4224500000000004</v>
      </c>
      <c r="H38" s="214">
        <f>G38</f>
        <v>4.4224500000000004</v>
      </c>
      <c r="I38" s="215" t="str">
        <f>IF(AND((G38-H38)&lt;0,H38&gt;0),ABS(G38-H38)," ")</f>
        <v xml:space="preserve"> </v>
      </c>
      <c r="J38" s="216" t="str">
        <f>IF(AND((G38-H38)&gt;0, H38&gt;0),G38-H38," ")</f>
        <v xml:space="preserve"> </v>
      </c>
      <c r="K38" s="216"/>
    </row>
    <row r="39" spans="1:11" x14ac:dyDescent="0.2">
      <c r="A39" s="212"/>
      <c r="B39" s="196" t="s">
        <v>73</v>
      </c>
      <c r="C39" s="213" t="s">
        <v>74</v>
      </c>
      <c r="D39" s="196" t="s">
        <v>75</v>
      </c>
      <c r="E39" s="214"/>
      <c r="F39" s="214">
        <v>2.4600006783570192E-2</v>
      </c>
      <c r="G39" s="214">
        <f>F39*E35</f>
        <v>0.72528199999999998</v>
      </c>
      <c r="H39" s="214">
        <f>G39</f>
        <v>0.72528199999999998</v>
      </c>
      <c r="I39" s="215" t="str">
        <f>IF(AND((G39-H39)&lt;0,H39&gt;0),ABS(G39-H39)," ")</f>
        <v xml:space="preserve"> </v>
      </c>
      <c r="J39" s="216" t="str">
        <f>IF(AND((G39-H39)&gt;0, H39&gt;0),G39-H39," ")</f>
        <v xml:space="preserve"> </v>
      </c>
      <c r="K39" s="216"/>
    </row>
    <row r="40" spans="1:11" ht="36" x14ac:dyDescent="0.2">
      <c r="A40" s="208" t="s">
        <v>78</v>
      </c>
      <c r="B40" s="209" t="s">
        <v>79</v>
      </c>
      <c r="C40" s="209" t="s">
        <v>80</v>
      </c>
      <c r="D40" s="209" t="s">
        <v>50</v>
      </c>
      <c r="E40" s="210">
        <f>Source!I49</f>
        <v>29.483000000000001</v>
      </c>
      <c r="F40" s="210"/>
      <c r="G40" s="210"/>
      <c r="H40" s="210"/>
      <c r="I40" s="210"/>
      <c r="J40" s="211"/>
      <c r="K40" s="211"/>
    </row>
    <row r="41" spans="1:11" ht="24" x14ac:dyDescent="0.2">
      <c r="A41" s="212"/>
      <c r="B41" s="196" t="s">
        <v>61</v>
      </c>
      <c r="C41" s="213" t="s">
        <v>62</v>
      </c>
      <c r="D41" s="196" t="s">
        <v>63</v>
      </c>
      <c r="E41" s="214"/>
      <c r="F41" s="214">
        <v>1.2E-2</v>
      </c>
      <c r="G41" s="214">
        <f>F41*E40</f>
        <v>0.353796</v>
      </c>
      <c r="H41" s="214">
        <f>G41</f>
        <v>0.353796</v>
      </c>
      <c r="I41" s="215" t="str">
        <f>IF(AND((G41-H41)&lt;0,H41&gt;0),ABS(G41-H41)," ")</f>
        <v xml:space="preserve"> </v>
      </c>
      <c r="J41" s="216" t="str">
        <f>IF(AND((G41-H41)&gt;0, H41&gt;0),G41-H41," ")</f>
        <v xml:space="preserve"> </v>
      </c>
      <c r="K41" s="216"/>
    </row>
    <row r="42" spans="1:11" x14ac:dyDescent="0.2">
      <c r="A42" s="212"/>
      <c r="B42" s="196" t="s">
        <v>84</v>
      </c>
      <c r="C42" s="213" t="s">
        <v>85</v>
      </c>
      <c r="D42" s="196" t="s">
        <v>44</v>
      </c>
      <c r="E42" s="214"/>
      <c r="F42" s="214">
        <v>4.0300003391785091E-2</v>
      </c>
      <c r="G42" s="214">
        <f>F42*E40</f>
        <v>1.1881649999999999</v>
      </c>
      <c r="H42" s="214">
        <f>G42</f>
        <v>1.1881649999999999</v>
      </c>
      <c r="I42" s="215" t="str">
        <f>IF(AND((G42-H42)&lt;0,H42&gt;0),ABS(G42-H42)," ")</f>
        <v xml:space="preserve"> </v>
      </c>
      <c r="J42" s="216" t="str">
        <f>IF(AND((G42-H42)&gt;0, H42&gt;0),G42-H42," ")</f>
        <v xml:space="preserve"> </v>
      </c>
      <c r="K42" s="216"/>
    </row>
    <row r="43" spans="1:11" x14ac:dyDescent="0.2">
      <c r="A43" s="212"/>
      <c r="B43" s="196" t="s">
        <v>503</v>
      </c>
      <c r="C43" s="213" t="s">
        <v>32</v>
      </c>
      <c r="D43" s="196" t="s">
        <v>33</v>
      </c>
      <c r="E43" s="214"/>
      <c r="F43" s="214">
        <v>0.1</v>
      </c>
      <c r="G43" s="214">
        <f>F43*E40</f>
        <v>2.9483000000000001</v>
      </c>
      <c r="H43" s="214">
        <f>G43</f>
        <v>2.9483000000000001</v>
      </c>
      <c r="I43" s="215" t="str">
        <f>IF(AND((G43-H43)&lt;0,H43&gt;0),ABS(G43-H43)," ")</f>
        <v xml:space="preserve"> </v>
      </c>
      <c r="J43" s="216" t="str">
        <f>IF(AND((G43-H43)&gt;0, H43&gt;0),G43-H43," ")</f>
        <v xml:space="preserve"> </v>
      </c>
      <c r="K43" s="216"/>
    </row>
    <row r="44" spans="1:11" x14ac:dyDescent="0.2">
      <c r="A44" s="212"/>
      <c r="B44" s="196" t="s">
        <v>73</v>
      </c>
      <c r="C44" s="213" t="s">
        <v>74</v>
      </c>
      <c r="D44" s="196" t="s">
        <v>75</v>
      </c>
      <c r="E44" s="214"/>
      <c r="F44" s="214">
        <v>1.709998982464471E-2</v>
      </c>
      <c r="G44" s="214">
        <f>F44*E40</f>
        <v>0.50415900000000002</v>
      </c>
      <c r="H44" s="214">
        <f>G44</f>
        <v>0.50415900000000002</v>
      </c>
      <c r="I44" s="215" t="str">
        <f>IF(AND((G44-H44)&lt;0,H44&gt;0),ABS(G44-H44)," ")</f>
        <v xml:space="preserve"> </v>
      </c>
      <c r="J44" s="216" t="str">
        <f>IF(AND((G44-H44)&gt;0, H44&gt;0),G44-H44," ")</f>
        <v xml:space="preserve"> </v>
      </c>
      <c r="K44" s="216"/>
    </row>
    <row r="45" spans="1:11" ht="24" x14ac:dyDescent="0.2">
      <c r="A45" s="208" t="s">
        <v>90</v>
      </c>
      <c r="B45" s="209" t="s">
        <v>48</v>
      </c>
      <c r="C45" s="209" t="s">
        <v>91</v>
      </c>
      <c r="D45" s="209" t="s">
        <v>50</v>
      </c>
      <c r="E45" s="210">
        <f>Source!I59</f>
        <v>20.509</v>
      </c>
      <c r="F45" s="210"/>
      <c r="G45" s="210"/>
      <c r="H45" s="210"/>
      <c r="I45" s="210"/>
      <c r="J45" s="211"/>
      <c r="K45" s="211"/>
    </row>
    <row r="46" spans="1:11" x14ac:dyDescent="0.2">
      <c r="A46" s="212"/>
      <c r="B46" s="196" t="s">
        <v>503</v>
      </c>
      <c r="C46" s="213" t="s">
        <v>32</v>
      </c>
      <c r="D46" s="196" t="s">
        <v>33</v>
      </c>
      <c r="E46" s="214"/>
      <c r="F46" s="214">
        <v>9.9999999999999992E-2</v>
      </c>
      <c r="G46" s="214">
        <f>F46*E45</f>
        <v>2.0508999999999999</v>
      </c>
      <c r="H46" s="214">
        <f>G46</f>
        <v>2.0508999999999999</v>
      </c>
      <c r="I46" s="215" t="str">
        <f>IF(AND((G46-H46)&lt;0,H46&gt;0),ABS(G46-H46)," ")</f>
        <v xml:space="preserve"> </v>
      </c>
      <c r="J46" s="216" t="str">
        <f>IF(AND((G46-H46)&gt;0, H46&gt;0),G46-H46," ")</f>
        <v xml:space="preserve"> </v>
      </c>
      <c r="K46" s="216"/>
    </row>
    <row r="47" spans="1:11" ht="24" x14ac:dyDescent="0.2">
      <c r="A47" s="212"/>
      <c r="B47" s="196" t="s">
        <v>42</v>
      </c>
      <c r="C47" s="213" t="s">
        <v>55</v>
      </c>
      <c r="D47" s="196" t="s">
        <v>44</v>
      </c>
      <c r="E47" s="214"/>
      <c r="F47" s="214">
        <v>1.3200009751816275E-2</v>
      </c>
      <c r="G47" s="214">
        <f>F47*E45</f>
        <v>0.27071899999999999</v>
      </c>
      <c r="H47" s="214">
        <f>G47</f>
        <v>0.27071899999999999</v>
      </c>
      <c r="I47" s="215" t="str">
        <f>IF(AND((G47-H47)&lt;0,H47&gt;0),ABS(G47-H47)," ")</f>
        <v xml:space="preserve"> </v>
      </c>
      <c r="J47" s="216" t="str">
        <f>IF(AND((G47-H47)&gt;0, H47&gt;0),G47-H47," ")</f>
        <v xml:space="preserve"> </v>
      </c>
      <c r="K47" s="216"/>
    </row>
    <row r="48" spans="1:11" ht="36" x14ac:dyDescent="0.2">
      <c r="A48" s="208" t="s">
        <v>94</v>
      </c>
      <c r="B48" s="209" t="s">
        <v>79</v>
      </c>
      <c r="C48" s="209" t="s">
        <v>80</v>
      </c>
      <c r="D48" s="209" t="s">
        <v>50</v>
      </c>
      <c r="E48" s="210">
        <f>Source!I65</f>
        <v>20.509</v>
      </c>
      <c r="F48" s="210"/>
      <c r="G48" s="210"/>
      <c r="H48" s="210"/>
      <c r="I48" s="210"/>
      <c r="J48" s="211"/>
      <c r="K48" s="211"/>
    </row>
    <row r="49" spans="1:255" ht="24" x14ac:dyDescent="0.2">
      <c r="A49" s="212"/>
      <c r="B49" s="196" t="s">
        <v>61</v>
      </c>
      <c r="C49" s="213" t="s">
        <v>62</v>
      </c>
      <c r="D49" s="196" t="s">
        <v>63</v>
      </c>
      <c r="E49" s="214"/>
      <c r="F49" s="214">
        <v>1.2E-2</v>
      </c>
      <c r="G49" s="214">
        <f>F49*E48</f>
        <v>0.24610800000000002</v>
      </c>
      <c r="H49" s="214">
        <f>G49</f>
        <v>0.24610800000000002</v>
      </c>
      <c r="I49" s="215" t="str">
        <f>IF(AND((G49-H49)&lt;0,H49&gt;0),ABS(G49-H49)," ")</f>
        <v xml:space="preserve"> </v>
      </c>
      <c r="J49" s="216" t="str">
        <f>IF(AND((G49-H49)&gt;0, H49&gt;0),G49-H49," ")</f>
        <v xml:space="preserve"> </v>
      </c>
      <c r="K49" s="216"/>
    </row>
    <row r="50" spans="1:255" x14ac:dyDescent="0.2">
      <c r="A50" s="212"/>
      <c r="B50" s="196" t="s">
        <v>84</v>
      </c>
      <c r="C50" s="213" t="s">
        <v>85</v>
      </c>
      <c r="D50" s="196" t="s">
        <v>44</v>
      </c>
      <c r="E50" s="214"/>
      <c r="F50" s="214">
        <v>4.0300014627724416E-2</v>
      </c>
      <c r="G50" s="214">
        <f>F50*E48</f>
        <v>0.82651300000000005</v>
      </c>
      <c r="H50" s="214">
        <f>G50</f>
        <v>0.82651300000000005</v>
      </c>
      <c r="I50" s="215" t="str">
        <f>IF(AND((G50-H50)&lt;0,H50&gt;0),ABS(G50-H50)," ")</f>
        <v xml:space="preserve"> </v>
      </c>
      <c r="J50" s="216" t="str">
        <f>IF(AND((G50-H50)&gt;0, H50&gt;0),G50-H50," ")</f>
        <v xml:space="preserve"> </v>
      </c>
      <c r="K50" s="216"/>
    </row>
    <row r="51" spans="1:255" x14ac:dyDescent="0.2">
      <c r="A51" s="212"/>
      <c r="B51" s="196" t="s">
        <v>503</v>
      </c>
      <c r="C51" s="213" t="s">
        <v>32</v>
      </c>
      <c r="D51" s="196" t="s">
        <v>33</v>
      </c>
      <c r="E51" s="214"/>
      <c r="F51" s="214">
        <v>9.9999999999999992E-2</v>
      </c>
      <c r="G51" s="214">
        <f>F51*E48</f>
        <v>2.0508999999999999</v>
      </c>
      <c r="H51" s="214">
        <f>G51</f>
        <v>2.0508999999999999</v>
      </c>
      <c r="I51" s="215" t="str">
        <f>IF(AND((G51-H51)&lt;0,H51&gt;0),ABS(G51-H51)," ")</f>
        <v xml:space="preserve"> </v>
      </c>
      <c r="J51" s="216" t="str">
        <f>IF(AND((G51-H51)&gt;0, H51&gt;0),G51-H51," ")</f>
        <v xml:space="preserve"> </v>
      </c>
      <c r="K51" s="216"/>
    </row>
    <row r="52" spans="1:255" x14ac:dyDescent="0.2">
      <c r="A52" s="212"/>
      <c r="B52" s="196" t="s">
        <v>73</v>
      </c>
      <c r="C52" s="213" t="s">
        <v>74</v>
      </c>
      <c r="D52" s="196" t="s">
        <v>75</v>
      </c>
      <c r="E52" s="214"/>
      <c r="F52" s="214">
        <v>1.710000487590814E-2</v>
      </c>
      <c r="G52" s="214">
        <f>F52*E48</f>
        <v>0.35070400000000002</v>
      </c>
      <c r="H52" s="214">
        <f>G52</f>
        <v>0.35070400000000002</v>
      </c>
      <c r="I52" s="215" t="str">
        <f>IF(AND((G52-H52)&lt;0,H52&gt;0),ABS(G52-H52)," ")</f>
        <v xml:space="preserve"> </v>
      </c>
      <c r="J52" s="216" t="str">
        <f>IF(AND((G52-H52)&gt;0, H52&gt;0),G52-H52," ")</f>
        <v xml:space="preserve"> </v>
      </c>
      <c r="K52" s="216"/>
    </row>
    <row r="53" spans="1:255" ht="36" x14ac:dyDescent="0.2">
      <c r="A53" s="208" t="s">
        <v>99</v>
      </c>
      <c r="B53" s="209" t="s">
        <v>100</v>
      </c>
      <c r="C53" s="209" t="s">
        <v>101</v>
      </c>
      <c r="D53" s="209" t="s">
        <v>23</v>
      </c>
      <c r="E53" s="210">
        <f>Source!I75</f>
        <v>4.7140000000000004</v>
      </c>
      <c r="F53" s="210"/>
      <c r="G53" s="210"/>
      <c r="H53" s="210"/>
      <c r="I53" s="210"/>
      <c r="J53" s="211"/>
      <c r="K53" s="211"/>
    </row>
    <row r="54" spans="1:255" x14ac:dyDescent="0.2">
      <c r="A54" s="212"/>
      <c r="B54" s="196" t="s">
        <v>503</v>
      </c>
      <c r="C54" s="213" t="s">
        <v>32</v>
      </c>
      <c r="D54" s="196" t="s">
        <v>33</v>
      </c>
      <c r="E54" s="214"/>
      <c r="F54" s="214">
        <v>0.19999999999999998</v>
      </c>
      <c r="G54" s="214">
        <f>F54*E53</f>
        <v>0.94279999999999997</v>
      </c>
      <c r="H54" s="214">
        <f>G54</f>
        <v>0.94279999999999997</v>
      </c>
      <c r="I54" s="215" t="str">
        <f>IF(AND((G54-H54)&lt;0,H54&gt;0),ABS(G54-H54)," ")</f>
        <v xml:space="preserve"> </v>
      </c>
      <c r="J54" s="216" t="str">
        <f>IF(AND((G54-H54)&gt;0, H54&gt;0),G54-H54," ")</f>
        <v xml:space="preserve"> </v>
      </c>
      <c r="K54" s="216"/>
    </row>
    <row r="55" spans="1:255" ht="24" x14ac:dyDescent="0.2">
      <c r="A55" s="212"/>
      <c r="B55" s="196" t="s">
        <v>105</v>
      </c>
      <c r="C55" s="213" t="s">
        <v>106</v>
      </c>
      <c r="D55" s="196" t="s">
        <v>44</v>
      </c>
      <c r="E55" s="214"/>
      <c r="F55" s="214">
        <v>4.2499999999999996E-2</v>
      </c>
      <c r="G55" s="214">
        <f>F55*E53</f>
        <v>0.200345</v>
      </c>
      <c r="H55" s="214">
        <f>G55</f>
        <v>0.200345</v>
      </c>
      <c r="I55" s="215" t="str">
        <f>IF(AND((G55-H55)&lt;0,H55&gt;0),ABS(G55-H55)," ")</f>
        <v xml:space="preserve"> </v>
      </c>
      <c r="J55" s="216" t="str">
        <f>IF(AND((G55-H55)&gt;0, H55&gt;0),G55-H55," ")</f>
        <v xml:space="preserve"> </v>
      </c>
      <c r="K55" s="216"/>
    </row>
    <row r="58" spans="1:255" x14ac:dyDescent="0.2">
      <c r="A58" s="173" t="s">
        <v>300</v>
      </c>
      <c r="B58" s="173"/>
      <c r="C58" s="179" t="s">
        <v>426</v>
      </c>
      <c r="D58" s="174"/>
      <c r="E58" s="174"/>
      <c r="F58" s="252" t="s">
        <v>427</v>
      </c>
      <c r="G58" s="252"/>
      <c r="BY58" s="175" t="str">
        <f>C58</f>
        <v>Руководитель ПТС ООО "ОСУ-2"</v>
      </c>
      <c r="BZ58" s="175" t="str">
        <f>F58</f>
        <v>В.И.Когтев</v>
      </c>
      <c r="IU58" s="23"/>
    </row>
    <row r="59" spans="1:255" s="198" customFormat="1" ht="11.25" x14ac:dyDescent="0.2">
      <c r="A59" s="197"/>
      <c r="B59" s="197"/>
      <c r="C59" s="253" t="s">
        <v>422</v>
      </c>
      <c r="D59" s="253"/>
      <c r="E59" s="253"/>
      <c r="F59" s="253" t="s">
        <v>423</v>
      </c>
      <c r="G59" s="253"/>
    </row>
    <row r="60" spans="1:255" x14ac:dyDescent="0.2">
      <c r="A60" s="18"/>
      <c r="B60" s="18"/>
      <c r="C60" s="18"/>
      <c r="D60" s="11" t="s">
        <v>424</v>
      </c>
      <c r="E60" s="18"/>
      <c r="F60" s="18"/>
      <c r="G60" s="18"/>
    </row>
    <row r="61" spans="1:255" ht="22.5" x14ac:dyDescent="0.2">
      <c r="A61" s="173" t="s">
        <v>428</v>
      </c>
      <c r="B61" s="173"/>
      <c r="C61" s="179" t="s">
        <v>429</v>
      </c>
      <c r="D61" s="174"/>
      <c r="E61" s="174"/>
      <c r="F61" s="252" t="s">
        <v>430</v>
      </c>
      <c r="G61" s="252"/>
      <c r="BY61" s="175" t="str">
        <f>C61</f>
        <v>Главный инженер-сметчик СРС ООО "ОДСК-Инжиниринг"</v>
      </c>
      <c r="BZ61" s="175" t="str">
        <f>F61</f>
        <v>И.В.Шеверева</v>
      </c>
      <c r="IU61" s="23"/>
    </row>
    <row r="62" spans="1:255" s="198" customFormat="1" ht="11.25" x14ac:dyDescent="0.2">
      <c r="A62" s="197"/>
      <c r="B62" s="197"/>
      <c r="C62" s="253" t="s">
        <v>422</v>
      </c>
      <c r="D62" s="253"/>
      <c r="E62" s="253"/>
      <c r="F62" s="253" t="s">
        <v>423</v>
      </c>
      <c r="G62" s="253"/>
    </row>
    <row r="63" spans="1:255" x14ac:dyDescent="0.2">
      <c r="A63" s="18"/>
      <c r="B63" s="18"/>
      <c r="C63" s="18"/>
      <c r="D63" s="11" t="s">
        <v>424</v>
      </c>
      <c r="E63" s="18"/>
      <c r="F63" s="18"/>
      <c r="G63" s="18"/>
    </row>
    <row r="64" spans="1:255" x14ac:dyDescent="0.2">
      <c r="A64" s="173" t="s">
        <v>431</v>
      </c>
      <c r="B64" s="173"/>
      <c r="C64" s="179"/>
      <c r="D64" s="174"/>
      <c r="E64" s="174"/>
      <c r="F64" s="252"/>
      <c r="G64" s="252"/>
      <c r="BY64" s="175">
        <f>C64</f>
        <v>0</v>
      </c>
      <c r="BZ64" s="175">
        <f>F64</f>
        <v>0</v>
      </c>
      <c r="IU64" s="23"/>
    </row>
    <row r="65" spans="1:7" s="198" customFormat="1" ht="11.25" x14ac:dyDescent="0.2">
      <c r="A65" s="197"/>
      <c r="B65" s="197"/>
      <c r="C65" s="253" t="s">
        <v>422</v>
      </c>
      <c r="D65" s="253"/>
      <c r="E65" s="253"/>
      <c r="F65" s="253" t="s">
        <v>423</v>
      </c>
      <c r="G65" s="253"/>
    </row>
    <row r="66" spans="1:7" x14ac:dyDescent="0.2">
      <c r="A66" s="18"/>
      <c r="B66" s="18"/>
      <c r="C66" s="18"/>
      <c r="D66" s="11" t="s">
        <v>424</v>
      </c>
      <c r="E66" s="18"/>
      <c r="F66" s="18"/>
      <c r="G66" s="18"/>
    </row>
  </sheetData>
  <mergeCells count="31">
    <mergeCell ref="C14:K14"/>
    <mergeCell ref="A1:K1"/>
    <mergeCell ref="H2:K2"/>
    <mergeCell ref="H3:K3"/>
    <mergeCell ref="H4:K4"/>
    <mergeCell ref="H5:K5"/>
    <mergeCell ref="H6:K6"/>
    <mergeCell ref="H7:K7"/>
    <mergeCell ref="H8:K8"/>
    <mergeCell ref="C11:K11"/>
    <mergeCell ref="C12:K12"/>
    <mergeCell ref="C13:K13"/>
    <mergeCell ref="C59:E59"/>
    <mergeCell ref="F59:G59"/>
    <mergeCell ref="A15:K15"/>
    <mergeCell ref="A16:K16"/>
    <mergeCell ref="A17:K17"/>
    <mergeCell ref="A18:K18"/>
    <mergeCell ref="B19:K19"/>
    <mergeCell ref="F21:H21"/>
    <mergeCell ref="A25:K25"/>
    <mergeCell ref="A26:K26"/>
    <mergeCell ref="A27:K27"/>
    <mergeCell ref="A31:K31"/>
    <mergeCell ref="F58:G58"/>
    <mergeCell ref="F61:G61"/>
    <mergeCell ref="C62:E62"/>
    <mergeCell ref="F62:G62"/>
    <mergeCell ref="F64:G64"/>
    <mergeCell ref="C65:E65"/>
    <mergeCell ref="F65:G65"/>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02"/>
  <sheetViews>
    <sheetView workbookViewId="0"/>
  </sheetViews>
  <sheetFormatPr defaultColWidth="9.140625" defaultRowHeight="12.75" x14ac:dyDescent="0.2"/>
  <cols>
    <col min="1" max="256" width="9.140625" customWidth="1"/>
  </cols>
  <sheetData>
    <row r="1" spans="1:200" x14ac:dyDescent="0.2">
      <c r="A1">
        <f>ROW(Source!A26)</f>
        <v>26</v>
      </c>
      <c r="B1">
        <v>74242616</v>
      </c>
      <c r="C1">
        <v>74242683</v>
      </c>
      <c r="D1">
        <v>27499237</v>
      </c>
      <c r="E1">
        <v>1</v>
      </c>
      <c r="F1">
        <v>1</v>
      </c>
      <c r="G1">
        <v>1</v>
      </c>
      <c r="H1">
        <v>1</v>
      </c>
      <c r="I1" t="s">
        <v>247</v>
      </c>
      <c r="J1" t="s">
        <v>6</v>
      </c>
      <c r="K1" t="s">
        <v>248</v>
      </c>
      <c r="L1">
        <v>1369</v>
      </c>
      <c r="N1">
        <v>1013</v>
      </c>
      <c r="O1" t="s">
        <v>249</v>
      </c>
      <c r="P1" t="s">
        <v>249</v>
      </c>
      <c r="Q1">
        <v>1</v>
      </c>
      <c r="W1">
        <v>0</v>
      </c>
      <c r="X1">
        <v>2106676593</v>
      </c>
      <c r="Y1">
        <f t="shared" ref="Y1:Y32" si="0">AT1</f>
        <v>8.1</v>
      </c>
      <c r="AA1">
        <v>0</v>
      </c>
      <c r="AB1">
        <v>0</v>
      </c>
      <c r="AC1">
        <v>0</v>
      </c>
      <c r="AD1">
        <v>9.6999999999999993</v>
      </c>
      <c r="AE1">
        <v>0</v>
      </c>
      <c r="AF1">
        <v>0</v>
      </c>
      <c r="AG1">
        <v>0</v>
      </c>
      <c r="AH1">
        <v>9.6999999999999993</v>
      </c>
      <c r="AI1">
        <v>1</v>
      </c>
      <c r="AJ1">
        <v>1</v>
      </c>
      <c r="AK1">
        <v>1</v>
      </c>
      <c r="AL1">
        <v>1</v>
      </c>
      <c r="AM1">
        <v>0</v>
      </c>
      <c r="AN1">
        <v>0</v>
      </c>
      <c r="AO1">
        <v>1</v>
      </c>
      <c r="AP1">
        <v>0</v>
      </c>
      <c r="AQ1">
        <v>0</v>
      </c>
      <c r="AR1">
        <v>0</v>
      </c>
      <c r="AS1" t="s">
        <v>6</v>
      </c>
      <c r="AT1">
        <v>8.1</v>
      </c>
      <c r="AU1" t="s">
        <v>6</v>
      </c>
      <c r="AV1">
        <v>1</v>
      </c>
      <c r="AW1">
        <v>2</v>
      </c>
      <c r="AX1">
        <v>74242690</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U1">
        <f>ROUND(AT1*Source!I26*AH1*AL1,0)</f>
        <v>1506</v>
      </c>
      <c r="CV1">
        <f>ROUND(Y1*Source!I26,9)</f>
        <v>155.22839999999999</v>
      </c>
      <c r="CW1">
        <v>0</v>
      </c>
      <c r="CX1">
        <f>ROUND(Y1*Source!I26,9)</f>
        <v>155.22839999999999</v>
      </c>
      <c r="CY1">
        <f>AD1</f>
        <v>9.6999999999999993</v>
      </c>
      <c r="CZ1">
        <f>AH1</f>
        <v>9.6999999999999993</v>
      </c>
      <c r="DA1">
        <f>AL1</f>
        <v>1</v>
      </c>
      <c r="DB1">
        <f t="shared" ref="DB1:DB32" si="1">ROUND(ROUND(AT1*CZ1,2),2)</f>
        <v>78.569999999999993</v>
      </c>
      <c r="DC1">
        <f t="shared" ref="DC1:DC32" si="2">ROUND(ROUND(AT1*AG1,2),2)</f>
        <v>0</v>
      </c>
      <c r="DD1" t="s">
        <v>6</v>
      </c>
      <c r="DE1" t="s">
        <v>6</v>
      </c>
      <c r="DF1">
        <f t="shared" ref="DF1:DF10" si="3">ROUND(ROUND(AE1,0)*CX1,0)</f>
        <v>0</v>
      </c>
      <c r="DG1">
        <f t="shared" ref="DG1:DG8" si="4">ROUND(ROUND(AF1,0)*CX1,0)</f>
        <v>0</v>
      </c>
      <c r="DH1">
        <f>Source!I26*SmtRes!Y1</f>
        <v>155.22839999999999</v>
      </c>
      <c r="DI1">
        <f>AD1</f>
        <v>9.6999999999999993</v>
      </c>
      <c r="DJ1">
        <f>EtalonRes!AB1</f>
        <v>9.6999999999999993</v>
      </c>
      <c r="DK1">
        <f>Source!BA26</f>
        <v>1</v>
      </c>
      <c r="DL1" t="s">
        <v>6</v>
      </c>
      <c r="DM1">
        <v>0</v>
      </c>
      <c r="DN1" t="s">
        <v>6</v>
      </c>
      <c r="DO1">
        <v>0</v>
      </c>
      <c r="GQ1">
        <v>-1</v>
      </c>
      <c r="GR1">
        <v>-1</v>
      </c>
    </row>
    <row r="2" spans="1:200" x14ac:dyDescent="0.2">
      <c r="A2">
        <f>ROW(Source!A26)</f>
        <v>26</v>
      </c>
      <c r="B2">
        <v>74242616</v>
      </c>
      <c r="C2">
        <v>74242683</v>
      </c>
      <c r="D2">
        <v>121548</v>
      </c>
      <c r="E2">
        <v>1</v>
      </c>
      <c r="F2">
        <v>1</v>
      </c>
      <c r="G2">
        <v>1</v>
      </c>
      <c r="H2">
        <v>1</v>
      </c>
      <c r="I2" t="s">
        <v>40</v>
      </c>
      <c r="J2" t="s">
        <v>6</v>
      </c>
      <c r="K2" t="s">
        <v>250</v>
      </c>
      <c r="L2">
        <v>608254</v>
      </c>
      <c r="N2">
        <v>1013</v>
      </c>
      <c r="O2" t="s">
        <v>251</v>
      </c>
      <c r="P2" t="s">
        <v>251</v>
      </c>
      <c r="Q2">
        <v>1</v>
      </c>
      <c r="W2">
        <v>0</v>
      </c>
      <c r="X2">
        <v>-185737400</v>
      </c>
      <c r="Y2">
        <f t="shared" si="0"/>
        <v>0.01</v>
      </c>
      <c r="AA2">
        <v>0</v>
      </c>
      <c r="AB2">
        <v>0</v>
      </c>
      <c r="AC2">
        <v>0</v>
      </c>
      <c r="AD2">
        <v>0</v>
      </c>
      <c r="AE2">
        <v>0</v>
      </c>
      <c r="AF2">
        <v>0</v>
      </c>
      <c r="AG2">
        <v>0</v>
      </c>
      <c r="AH2">
        <v>0</v>
      </c>
      <c r="AI2">
        <v>1</v>
      </c>
      <c r="AJ2">
        <v>1</v>
      </c>
      <c r="AK2">
        <v>1</v>
      </c>
      <c r="AL2">
        <v>1</v>
      </c>
      <c r="AM2">
        <v>0</v>
      </c>
      <c r="AN2">
        <v>0</v>
      </c>
      <c r="AO2">
        <v>1</v>
      </c>
      <c r="AP2">
        <v>0</v>
      </c>
      <c r="AQ2">
        <v>0</v>
      </c>
      <c r="AR2">
        <v>0</v>
      </c>
      <c r="AS2" t="s">
        <v>6</v>
      </c>
      <c r="AT2">
        <v>0.01</v>
      </c>
      <c r="AU2" t="s">
        <v>6</v>
      </c>
      <c r="AV2">
        <v>2</v>
      </c>
      <c r="AW2">
        <v>2</v>
      </c>
      <c r="AX2">
        <v>74242691</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V2">
        <v>0</v>
      </c>
      <c r="CW2">
        <v>0</v>
      </c>
      <c r="CX2">
        <f>ROUND(Y2*Source!I26,9)</f>
        <v>0.19164</v>
      </c>
      <c r="CY2">
        <f>AD2</f>
        <v>0</v>
      </c>
      <c r="CZ2">
        <f>AH2</f>
        <v>0</v>
      </c>
      <c r="DA2">
        <f>AL2</f>
        <v>1</v>
      </c>
      <c r="DB2">
        <f t="shared" si="1"/>
        <v>0</v>
      </c>
      <c r="DC2">
        <f t="shared" si="2"/>
        <v>0</v>
      </c>
      <c r="DD2" t="s">
        <v>6</v>
      </c>
      <c r="DE2" t="s">
        <v>6</v>
      </c>
      <c r="DF2">
        <f t="shared" si="3"/>
        <v>0</v>
      </c>
      <c r="DG2">
        <f t="shared" si="4"/>
        <v>0</v>
      </c>
      <c r="DH2">
        <f>Source!I26*SmtRes!Y2</f>
        <v>0.19164000000000003</v>
      </c>
      <c r="DI2">
        <f>AD2</f>
        <v>0</v>
      </c>
      <c r="DJ2">
        <f>EtalonRes!AB2</f>
        <v>0</v>
      </c>
      <c r="DK2">
        <f>Source!BA26</f>
        <v>1</v>
      </c>
      <c r="DL2" t="s">
        <v>6</v>
      </c>
      <c r="DM2">
        <v>0</v>
      </c>
      <c r="DN2" t="s">
        <v>6</v>
      </c>
      <c r="DO2">
        <v>0</v>
      </c>
      <c r="GQ2">
        <v>-1</v>
      </c>
      <c r="GR2">
        <v>-1</v>
      </c>
    </row>
    <row r="3" spans="1:200" x14ac:dyDescent="0.2">
      <c r="A3">
        <f>ROW(Source!A26)</f>
        <v>26</v>
      </c>
      <c r="B3">
        <v>74242616</v>
      </c>
      <c r="C3">
        <v>74242683</v>
      </c>
      <c r="D3">
        <v>27439630</v>
      </c>
      <c r="E3">
        <v>1</v>
      </c>
      <c r="F3">
        <v>1</v>
      </c>
      <c r="G3">
        <v>1</v>
      </c>
      <c r="H3">
        <v>2</v>
      </c>
      <c r="I3" t="s">
        <v>252</v>
      </c>
      <c r="J3" t="s">
        <v>253</v>
      </c>
      <c r="K3" t="s">
        <v>254</v>
      </c>
      <c r="L3">
        <v>1368</v>
      </c>
      <c r="N3">
        <v>1011</v>
      </c>
      <c r="O3" t="s">
        <v>255</v>
      </c>
      <c r="P3" t="s">
        <v>255</v>
      </c>
      <c r="Q3">
        <v>1</v>
      </c>
      <c r="W3">
        <v>0</v>
      </c>
      <c r="X3">
        <v>-72110300</v>
      </c>
      <c r="Y3">
        <f t="shared" si="0"/>
        <v>0.01</v>
      </c>
      <c r="AA3">
        <v>0</v>
      </c>
      <c r="AB3">
        <v>31.27</v>
      </c>
      <c r="AC3">
        <v>13.61</v>
      </c>
      <c r="AD3">
        <v>0</v>
      </c>
      <c r="AE3">
        <v>0</v>
      </c>
      <c r="AF3">
        <v>31.27</v>
      </c>
      <c r="AG3">
        <v>13.61</v>
      </c>
      <c r="AH3">
        <v>0</v>
      </c>
      <c r="AI3">
        <v>1</v>
      </c>
      <c r="AJ3">
        <v>1</v>
      </c>
      <c r="AK3">
        <v>1</v>
      </c>
      <c r="AL3">
        <v>1</v>
      </c>
      <c r="AM3">
        <v>0</v>
      </c>
      <c r="AN3">
        <v>0</v>
      </c>
      <c r="AO3">
        <v>1</v>
      </c>
      <c r="AP3">
        <v>0</v>
      </c>
      <c r="AQ3">
        <v>0</v>
      </c>
      <c r="AR3">
        <v>0</v>
      </c>
      <c r="AS3" t="s">
        <v>6</v>
      </c>
      <c r="AT3">
        <v>0.01</v>
      </c>
      <c r="AU3" t="s">
        <v>6</v>
      </c>
      <c r="AV3">
        <v>0</v>
      </c>
      <c r="AW3">
        <v>2</v>
      </c>
      <c r="AX3">
        <v>74242692</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V3">
        <v>0</v>
      </c>
      <c r="CW3">
        <f>ROUND(Y3*Source!I26*DO3,9)</f>
        <v>0</v>
      </c>
      <c r="CX3">
        <f>ROUND(Y3*Source!I26,9)</f>
        <v>0.19164</v>
      </c>
      <c r="CY3">
        <f>AB3</f>
        <v>31.27</v>
      </c>
      <c r="CZ3">
        <f>AF3</f>
        <v>31.27</v>
      </c>
      <c r="DA3">
        <f>AJ3</f>
        <v>1</v>
      </c>
      <c r="DB3">
        <f t="shared" si="1"/>
        <v>0.31</v>
      </c>
      <c r="DC3">
        <f t="shared" si="2"/>
        <v>0.14000000000000001</v>
      </c>
      <c r="DD3" t="s">
        <v>6</v>
      </c>
      <c r="DE3" t="s">
        <v>6</v>
      </c>
      <c r="DF3">
        <f t="shared" si="3"/>
        <v>0</v>
      </c>
      <c r="DG3">
        <f t="shared" si="4"/>
        <v>6</v>
      </c>
      <c r="DH3">
        <f>Source!I26*SmtRes!Y3</f>
        <v>0.19164000000000003</v>
      </c>
      <c r="DI3">
        <f>AB3</f>
        <v>31.27</v>
      </c>
      <c r="DJ3">
        <f>EtalonRes!Z3</f>
        <v>31.27</v>
      </c>
      <c r="DK3">
        <f>Source!BB26</f>
        <v>1</v>
      </c>
      <c r="DL3" t="s">
        <v>6</v>
      </c>
      <c r="DM3">
        <v>0</v>
      </c>
      <c r="DN3" t="s">
        <v>6</v>
      </c>
      <c r="DO3">
        <v>0</v>
      </c>
      <c r="GQ3">
        <v>-1</v>
      </c>
      <c r="GR3">
        <v>-1</v>
      </c>
    </row>
    <row r="4" spans="1:200" x14ac:dyDescent="0.2">
      <c r="A4">
        <f>ROW(Source!A26)</f>
        <v>26</v>
      </c>
      <c r="B4">
        <v>74242616</v>
      </c>
      <c r="C4">
        <v>74242683</v>
      </c>
      <c r="D4">
        <v>27441327</v>
      </c>
      <c r="E4">
        <v>1</v>
      </c>
      <c r="F4">
        <v>1</v>
      </c>
      <c r="G4">
        <v>1</v>
      </c>
      <c r="H4">
        <v>2</v>
      </c>
      <c r="I4" t="s">
        <v>256</v>
      </c>
      <c r="J4" t="s">
        <v>257</v>
      </c>
      <c r="K4" t="s">
        <v>258</v>
      </c>
      <c r="L4">
        <v>1368</v>
      </c>
      <c r="N4">
        <v>1011</v>
      </c>
      <c r="O4" t="s">
        <v>255</v>
      </c>
      <c r="P4" t="s">
        <v>255</v>
      </c>
      <c r="Q4">
        <v>1</v>
      </c>
      <c r="W4">
        <v>0</v>
      </c>
      <c r="X4">
        <v>-1583389094</v>
      </c>
      <c r="Y4">
        <f t="shared" si="0"/>
        <v>0.01</v>
      </c>
      <c r="AA4">
        <v>0</v>
      </c>
      <c r="AB4">
        <v>93.37</v>
      </c>
      <c r="AC4">
        <v>11.69</v>
      </c>
      <c r="AD4">
        <v>0</v>
      </c>
      <c r="AE4">
        <v>0</v>
      </c>
      <c r="AF4">
        <v>93.37</v>
      </c>
      <c r="AG4">
        <v>11.69</v>
      </c>
      <c r="AH4">
        <v>0</v>
      </c>
      <c r="AI4">
        <v>1</v>
      </c>
      <c r="AJ4">
        <v>1</v>
      </c>
      <c r="AK4">
        <v>1</v>
      </c>
      <c r="AL4">
        <v>1</v>
      </c>
      <c r="AM4">
        <v>0</v>
      </c>
      <c r="AN4">
        <v>0</v>
      </c>
      <c r="AO4">
        <v>1</v>
      </c>
      <c r="AP4">
        <v>0</v>
      </c>
      <c r="AQ4">
        <v>0</v>
      </c>
      <c r="AR4">
        <v>0</v>
      </c>
      <c r="AS4" t="s">
        <v>6</v>
      </c>
      <c r="AT4">
        <v>0.01</v>
      </c>
      <c r="AU4" t="s">
        <v>6</v>
      </c>
      <c r="AV4">
        <v>0</v>
      </c>
      <c r="AW4">
        <v>2</v>
      </c>
      <c r="AX4">
        <v>74242693</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V4">
        <v>0</v>
      </c>
      <c r="CW4">
        <f>ROUND(Y4*Source!I26*DO4,9)</f>
        <v>0</v>
      </c>
      <c r="CX4">
        <f>ROUND(Y4*Source!I26,9)</f>
        <v>0.19164</v>
      </c>
      <c r="CY4">
        <f>AB4</f>
        <v>93.37</v>
      </c>
      <c r="CZ4">
        <f>AF4</f>
        <v>93.37</v>
      </c>
      <c r="DA4">
        <f>AJ4</f>
        <v>1</v>
      </c>
      <c r="DB4">
        <f t="shared" si="1"/>
        <v>0.93</v>
      </c>
      <c r="DC4">
        <f t="shared" si="2"/>
        <v>0.12</v>
      </c>
      <c r="DD4" t="s">
        <v>6</v>
      </c>
      <c r="DE4" t="s">
        <v>6</v>
      </c>
      <c r="DF4">
        <f t="shared" si="3"/>
        <v>0</v>
      </c>
      <c r="DG4">
        <f t="shared" si="4"/>
        <v>18</v>
      </c>
      <c r="DH4">
        <f>Source!I26*SmtRes!Y4</f>
        <v>0.19164000000000003</v>
      </c>
      <c r="DI4">
        <f>AB4</f>
        <v>93.37</v>
      </c>
      <c r="DJ4">
        <f>EtalonRes!Z4</f>
        <v>93.37</v>
      </c>
      <c r="DK4">
        <f>Source!BB26</f>
        <v>1</v>
      </c>
      <c r="DL4" t="s">
        <v>6</v>
      </c>
      <c r="DM4">
        <v>0</v>
      </c>
      <c r="DN4" t="s">
        <v>6</v>
      </c>
      <c r="DO4">
        <v>0</v>
      </c>
      <c r="GQ4">
        <v>-1</v>
      </c>
      <c r="GR4">
        <v>-1</v>
      </c>
    </row>
    <row r="5" spans="1:200" x14ac:dyDescent="0.2">
      <c r="A5">
        <f>ROW(Source!A26)</f>
        <v>26</v>
      </c>
      <c r="B5">
        <v>74242616</v>
      </c>
      <c r="C5">
        <v>74242683</v>
      </c>
      <c r="D5">
        <v>27371543</v>
      </c>
      <c r="E5">
        <v>1</v>
      </c>
      <c r="F5">
        <v>1</v>
      </c>
      <c r="G5">
        <v>1</v>
      </c>
      <c r="H5">
        <v>3</v>
      </c>
      <c r="I5" t="s">
        <v>31</v>
      </c>
      <c r="J5" t="s">
        <v>34</v>
      </c>
      <c r="K5" t="s">
        <v>32</v>
      </c>
      <c r="L5">
        <v>1346</v>
      </c>
      <c r="N5">
        <v>1009</v>
      </c>
      <c r="O5" t="s">
        <v>33</v>
      </c>
      <c r="P5" t="s">
        <v>33</v>
      </c>
      <c r="Q5">
        <v>1</v>
      </c>
      <c r="W5">
        <v>0</v>
      </c>
      <c r="X5">
        <v>-386994921</v>
      </c>
      <c r="Y5">
        <f t="shared" si="0"/>
        <v>0.1</v>
      </c>
      <c r="AA5">
        <v>1.82</v>
      </c>
      <c r="AB5">
        <v>0</v>
      </c>
      <c r="AC5">
        <v>0</v>
      </c>
      <c r="AD5">
        <v>0</v>
      </c>
      <c r="AE5">
        <v>1.82</v>
      </c>
      <c r="AF5">
        <v>0</v>
      </c>
      <c r="AG5">
        <v>0</v>
      </c>
      <c r="AH5">
        <v>0</v>
      </c>
      <c r="AI5">
        <v>1</v>
      </c>
      <c r="AJ5">
        <v>1</v>
      </c>
      <c r="AK5">
        <v>1</v>
      </c>
      <c r="AL5">
        <v>1</v>
      </c>
      <c r="AM5">
        <v>0</v>
      </c>
      <c r="AN5">
        <v>0</v>
      </c>
      <c r="AO5">
        <v>0</v>
      </c>
      <c r="AP5">
        <v>1</v>
      </c>
      <c r="AQ5">
        <v>0</v>
      </c>
      <c r="AR5">
        <v>0</v>
      </c>
      <c r="AS5" t="s">
        <v>6</v>
      </c>
      <c r="AT5">
        <v>0.1</v>
      </c>
      <c r="AU5" t="s">
        <v>6</v>
      </c>
      <c r="AV5">
        <v>0</v>
      </c>
      <c r="AW5">
        <v>2</v>
      </c>
      <c r="AX5">
        <v>74242694</v>
      </c>
      <c r="AY5">
        <v>1</v>
      </c>
      <c r="AZ5">
        <v>0</v>
      </c>
      <c r="BA5">
        <v>5</v>
      </c>
      <c r="BB5">
        <v>3</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V5">
        <v>0</v>
      </c>
      <c r="CW5">
        <v>0</v>
      </c>
      <c r="CX5">
        <f>ROUND(Y5*Source!I26,9)</f>
        <v>1.9164000000000001</v>
      </c>
      <c r="CY5">
        <f>AA5</f>
        <v>1.82</v>
      </c>
      <c r="CZ5">
        <f>AE5</f>
        <v>1.82</v>
      </c>
      <c r="DA5">
        <f>AI5</f>
        <v>1</v>
      </c>
      <c r="DB5">
        <f t="shared" si="1"/>
        <v>0.18</v>
      </c>
      <c r="DC5">
        <f t="shared" si="2"/>
        <v>0</v>
      </c>
      <c r="DD5" t="s">
        <v>6</v>
      </c>
      <c r="DE5" t="s">
        <v>6</v>
      </c>
      <c r="DF5">
        <f t="shared" si="3"/>
        <v>4</v>
      </c>
      <c r="DG5">
        <f t="shared" si="4"/>
        <v>0</v>
      </c>
      <c r="DH5">
        <f>Source!I26*SmtRes!Y5</f>
        <v>1.9164000000000003</v>
      </c>
      <c r="DI5">
        <f>AA5</f>
        <v>1.82</v>
      </c>
      <c r="DJ5">
        <f>EtalonRes!Y5</f>
        <v>1.82</v>
      </c>
      <c r="DK5">
        <f>Source!BC26</f>
        <v>1</v>
      </c>
      <c r="DL5" t="s">
        <v>6</v>
      </c>
      <c r="DM5">
        <v>0</v>
      </c>
      <c r="DN5" t="s">
        <v>6</v>
      </c>
      <c r="DO5">
        <v>0</v>
      </c>
      <c r="GP5">
        <v>1</v>
      </c>
      <c r="GQ5">
        <v>-1</v>
      </c>
      <c r="GR5">
        <v>-1</v>
      </c>
    </row>
    <row r="6" spans="1:200" x14ac:dyDescent="0.2">
      <c r="A6">
        <f>ROW(Source!A26)</f>
        <v>26</v>
      </c>
      <c r="B6">
        <v>74242616</v>
      </c>
      <c r="C6">
        <v>74242683</v>
      </c>
      <c r="D6">
        <v>27373308</v>
      </c>
      <c r="E6">
        <v>1</v>
      </c>
      <c r="F6">
        <v>1</v>
      </c>
      <c r="G6">
        <v>1</v>
      </c>
      <c r="H6">
        <v>3</v>
      </c>
      <c r="I6" t="s">
        <v>42</v>
      </c>
      <c r="J6" t="s">
        <v>45</v>
      </c>
      <c r="K6" t="s">
        <v>43</v>
      </c>
      <c r="L6">
        <v>1348</v>
      </c>
      <c r="N6">
        <v>1009</v>
      </c>
      <c r="O6" t="s">
        <v>44</v>
      </c>
      <c r="P6" t="s">
        <v>44</v>
      </c>
      <c r="Q6">
        <v>1000</v>
      </c>
      <c r="W6">
        <v>0</v>
      </c>
      <c r="X6">
        <v>1777539314</v>
      </c>
      <c r="Y6">
        <f t="shared" si="0"/>
        <v>1.2999999999999999E-2</v>
      </c>
      <c r="AA6">
        <v>11293.16</v>
      </c>
      <c r="AB6">
        <v>0</v>
      </c>
      <c r="AC6">
        <v>0</v>
      </c>
      <c r="AD6">
        <v>0</v>
      </c>
      <c r="AE6">
        <v>11293.16</v>
      </c>
      <c r="AF6">
        <v>0</v>
      </c>
      <c r="AG6">
        <v>0</v>
      </c>
      <c r="AH6">
        <v>0</v>
      </c>
      <c r="AI6">
        <v>1</v>
      </c>
      <c r="AJ6">
        <v>1</v>
      </c>
      <c r="AK6">
        <v>1</v>
      </c>
      <c r="AL6">
        <v>1</v>
      </c>
      <c r="AM6">
        <v>0</v>
      </c>
      <c r="AN6">
        <v>0</v>
      </c>
      <c r="AO6">
        <v>0</v>
      </c>
      <c r="AP6">
        <v>0</v>
      </c>
      <c r="AQ6">
        <v>0</v>
      </c>
      <c r="AR6">
        <v>0</v>
      </c>
      <c r="AS6" t="s">
        <v>6</v>
      </c>
      <c r="AT6">
        <v>1.2999999999999999E-2</v>
      </c>
      <c r="AU6" t="s">
        <v>6</v>
      </c>
      <c r="AV6">
        <v>0</v>
      </c>
      <c r="AW6">
        <v>1</v>
      </c>
      <c r="AX6">
        <v>-1</v>
      </c>
      <c r="AY6">
        <v>0</v>
      </c>
      <c r="AZ6">
        <v>0</v>
      </c>
      <c r="BA6" t="s">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V6">
        <v>0</v>
      </c>
      <c r="CW6">
        <v>0</v>
      </c>
      <c r="CX6">
        <f>ROUND(Y6*Source!I26,9)</f>
        <v>0.24913199999999999</v>
      </c>
      <c r="CY6">
        <f>AA6</f>
        <v>11293.16</v>
      </c>
      <c r="CZ6">
        <f>AE6</f>
        <v>11293.16</v>
      </c>
      <c r="DA6">
        <f>AI6</f>
        <v>1</v>
      </c>
      <c r="DB6">
        <f t="shared" si="1"/>
        <v>146.81</v>
      </c>
      <c r="DC6">
        <f t="shared" si="2"/>
        <v>0</v>
      </c>
      <c r="DD6" t="s">
        <v>6</v>
      </c>
      <c r="DE6" t="s">
        <v>6</v>
      </c>
      <c r="DF6">
        <f t="shared" si="3"/>
        <v>2813</v>
      </c>
      <c r="DG6">
        <f t="shared" si="4"/>
        <v>0</v>
      </c>
      <c r="DH6">
        <f>Source!I26*SmtRes!Y6</f>
        <v>0.24913200000000002</v>
      </c>
      <c r="DI6">
        <f>AA6</f>
        <v>11293.16</v>
      </c>
      <c r="DJ6">
        <f>DF6</f>
        <v>2813</v>
      </c>
      <c r="DK6">
        <f>Source!BC26</f>
        <v>1</v>
      </c>
      <c r="DL6" t="s">
        <v>6</v>
      </c>
      <c r="DM6">
        <v>0</v>
      </c>
      <c r="DN6" t="s">
        <v>6</v>
      </c>
      <c r="DO6">
        <v>0</v>
      </c>
      <c r="GP6">
        <v>1</v>
      </c>
      <c r="GQ6">
        <v>-1</v>
      </c>
      <c r="GR6">
        <v>-1</v>
      </c>
    </row>
    <row r="7" spans="1:200" x14ac:dyDescent="0.2">
      <c r="A7">
        <f>ROW(Source!A27)</f>
        <v>27</v>
      </c>
      <c r="B7">
        <v>74242617</v>
      </c>
      <c r="C7">
        <v>74242683</v>
      </c>
      <c r="D7">
        <v>27499237</v>
      </c>
      <c r="E7">
        <v>1</v>
      </c>
      <c r="F7">
        <v>1</v>
      </c>
      <c r="G7">
        <v>1</v>
      </c>
      <c r="H7">
        <v>1</v>
      </c>
      <c r="I7" t="s">
        <v>247</v>
      </c>
      <c r="J7" t="s">
        <v>6</v>
      </c>
      <c r="K7" t="s">
        <v>248</v>
      </c>
      <c r="L7">
        <v>1369</v>
      </c>
      <c r="N7">
        <v>1013</v>
      </c>
      <c r="O7" t="s">
        <v>249</v>
      </c>
      <c r="P7" t="s">
        <v>249</v>
      </c>
      <c r="Q7">
        <v>1</v>
      </c>
      <c r="W7">
        <v>0</v>
      </c>
      <c r="X7">
        <v>2106676593</v>
      </c>
      <c r="Y7">
        <f t="shared" si="0"/>
        <v>8.1</v>
      </c>
      <c r="AA7">
        <v>0</v>
      </c>
      <c r="AB7">
        <v>0</v>
      </c>
      <c r="AC7">
        <v>0</v>
      </c>
      <c r="AD7">
        <v>335.62</v>
      </c>
      <c r="AE7">
        <v>0</v>
      </c>
      <c r="AF7">
        <v>0</v>
      </c>
      <c r="AG7">
        <v>0</v>
      </c>
      <c r="AH7">
        <v>9.6999999999999993</v>
      </c>
      <c r="AI7">
        <v>1</v>
      </c>
      <c r="AJ7">
        <v>1</v>
      </c>
      <c r="AK7">
        <v>1</v>
      </c>
      <c r="AL7">
        <v>34.6</v>
      </c>
      <c r="AM7">
        <v>5</v>
      </c>
      <c r="AN7">
        <v>0</v>
      </c>
      <c r="AO7">
        <v>1</v>
      </c>
      <c r="AP7">
        <v>0</v>
      </c>
      <c r="AQ7">
        <v>0</v>
      </c>
      <c r="AR7">
        <v>0</v>
      </c>
      <c r="AS7" t="s">
        <v>6</v>
      </c>
      <c r="AT7">
        <v>8.1</v>
      </c>
      <c r="AU7" t="s">
        <v>6</v>
      </c>
      <c r="AV7">
        <v>1</v>
      </c>
      <c r="AW7">
        <v>2</v>
      </c>
      <c r="AX7">
        <v>74242690</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U7">
        <f>ROUND(AT7*Source!I27*AH7*AL7,0)</f>
        <v>52098</v>
      </c>
      <c r="CV7">
        <f>ROUND(Y7*Source!I27,9)</f>
        <v>155.22839999999999</v>
      </c>
      <c r="CW7">
        <v>0</v>
      </c>
      <c r="CX7">
        <f>ROUND(Y7*Source!I27,9)</f>
        <v>155.22839999999999</v>
      </c>
      <c r="CY7">
        <f>AD7</f>
        <v>335.62</v>
      </c>
      <c r="CZ7">
        <f>AH7</f>
        <v>9.6999999999999993</v>
      </c>
      <c r="DA7">
        <f>AL7</f>
        <v>34.6</v>
      </c>
      <c r="DB7">
        <f t="shared" si="1"/>
        <v>78.569999999999993</v>
      </c>
      <c r="DC7">
        <f t="shared" si="2"/>
        <v>0</v>
      </c>
      <c r="DD7" t="s">
        <v>6</v>
      </c>
      <c r="DE7" t="s">
        <v>6</v>
      </c>
      <c r="DF7">
        <f t="shared" si="3"/>
        <v>0</v>
      </c>
      <c r="DG7">
        <f t="shared" si="4"/>
        <v>0</v>
      </c>
      <c r="DH7">
        <f>Source!I27*SmtRes!Y7</f>
        <v>155.22839999999999</v>
      </c>
      <c r="DI7">
        <f>AD7</f>
        <v>335.62</v>
      </c>
      <c r="DJ7">
        <f>EtalonRes!AB7</f>
        <v>9.6999999999999993</v>
      </c>
      <c r="DK7">
        <f>Source!BA27</f>
        <v>34.6</v>
      </c>
      <c r="DL7" t="s">
        <v>6</v>
      </c>
      <c r="DM7">
        <v>0</v>
      </c>
      <c r="DN7" t="s">
        <v>6</v>
      </c>
      <c r="DO7">
        <v>0</v>
      </c>
      <c r="GQ7">
        <v>-1</v>
      </c>
      <c r="GR7">
        <v>-1</v>
      </c>
    </row>
    <row r="8" spans="1:200" x14ac:dyDescent="0.2">
      <c r="A8">
        <f>ROW(Source!A27)</f>
        <v>27</v>
      </c>
      <c r="B8">
        <v>74242617</v>
      </c>
      <c r="C8">
        <v>74242683</v>
      </c>
      <c r="D8">
        <v>121548</v>
      </c>
      <c r="E8">
        <v>1</v>
      </c>
      <c r="F8">
        <v>1</v>
      </c>
      <c r="G8">
        <v>1</v>
      </c>
      <c r="H8">
        <v>1</v>
      </c>
      <c r="I8" t="s">
        <v>40</v>
      </c>
      <c r="J8" t="s">
        <v>6</v>
      </c>
      <c r="K8" t="s">
        <v>250</v>
      </c>
      <c r="L8">
        <v>608254</v>
      </c>
      <c r="N8">
        <v>1013</v>
      </c>
      <c r="O8" t="s">
        <v>251</v>
      </c>
      <c r="P8" t="s">
        <v>251</v>
      </c>
      <c r="Q8">
        <v>1</v>
      </c>
      <c r="W8">
        <v>0</v>
      </c>
      <c r="X8">
        <v>-185737400</v>
      </c>
      <c r="Y8">
        <f t="shared" si="0"/>
        <v>0.01</v>
      </c>
      <c r="AA8">
        <v>0</v>
      </c>
      <c r="AB8">
        <v>0</v>
      </c>
      <c r="AC8">
        <v>0</v>
      </c>
      <c r="AD8">
        <v>0</v>
      </c>
      <c r="AE8">
        <v>0</v>
      </c>
      <c r="AF8">
        <v>0</v>
      </c>
      <c r="AG8">
        <v>0</v>
      </c>
      <c r="AH8">
        <v>0</v>
      </c>
      <c r="AI8">
        <v>1</v>
      </c>
      <c r="AJ8">
        <v>1</v>
      </c>
      <c r="AK8">
        <v>30.1</v>
      </c>
      <c r="AL8">
        <v>1</v>
      </c>
      <c r="AM8">
        <v>5</v>
      </c>
      <c r="AN8">
        <v>0</v>
      </c>
      <c r="AO8">
        <v>1</v>
      </c>
      <c r="AP8">
        <v>0</v>
      </c>
      <c r="AQ8">
        <v>0</v>
      </c>
      <c r="AR8">
        <v>0</v>
      </c>
      <c r="AS8" t="s">
        <v>6</v>
      </c>
      <c r="AT8">
        <v>0.01</v>
      </c>
      <c r="AU8" t="s">
        <v>6</v>
      </c>
      <c r="AV8">
        <v>2</v>
      </c>
      <c r="AW8">
        <v>2</v>
      </c>
      <c r="AX8">
        <v>74242691</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V8">
        <v>0</v>
      </c>
      <c r="CW8">
        <v>0</v>
      </c>
      <c r="CX8">
        <f>ROUND(Y8*Source!I27,9)</f>
        <v>0.19164</v>
      </c>
      <c r="CY8">
        <f>AD8</f>
        <v>0</v>
      </c>
      <c r="CZ8">
        <f>AH8</f>
        <v>0</v>
      </c>
      <c r="DA8">
        <f>AL8</f>
        <v>1</v>
      </c>
      <c r="DB8">
        <f t="shared" si="1"/>
        <v>0</v>
      </c>
      <c r="DC8">
        <f t="shared" si="2"/>
        <v>0</v>
      </c>
      <c r="DD8" t="s">
        <v>6</v>
      </c>
      <c r="DE8" t="s">
        <v>6</v>
      </c>
      <c r="DF8">
        <f t="shared" si="3"/>
        <v>0</v>
      </c>
      <c r="DG8">
        <f t="shared" si="4"/>
        <v>0</v>
      </c>
      <c r="DH8">
        <f>Source!I27*SmtRes!Y8</f>
        <v>0.19164000000000003</v>
      </c>
      <c r="DI8">
        <f>AD8</f>
        <v>0</v>
      </c>
      <c r="DJ8">
        <f>EtalonRes!AB8</f>
        <v>0</v>
      </c>
      <c r="DK8">
        <f>Source!BA27</f>
        <v>34.6</v>
      </c>
      <c r="DL8" t="s">
        <v>6</v>
      </c>
      <c r="DM8">
        <v>0</v>
      </c>
      <c r="DN8" t="s">
        <v>6</v>
      </c>
      <c r="DO8">
        <v>0</v>
      </c>
      <c r="GQ8">
        <v>-1</v>
      </c>
      <c r="GR8">
        <v>-1</v>
      </c>
    </row>
    <row r="9" spans="1:200" x14ac:dyDescent="0.2">
      <c r="A9">
        <f>ROW(Source!A27)</f>
        <v>27</v>
      </c>
      <c r="B9">
        <v>74242617</v>
      </c>
      <c r="C9">
        <v>74242683</v>
      </c>
      <c r="D9">
        <v>27439630</v>
      </c>
      <c r="E9">
        <v>1</v>
      </c>
      <c r="F9">
        <v>1</v>
      </c>
      <c r="G9">
        <v>1</v>
      </c>
      <c r="H9">
        <v>2</v>
      </c>
      <c r="I9" t="s">
        <v>252</v>
      </c>
      <c r="J9" t="s">
        <v>253</v>
      </c>
      <c r="K9" t="s">
        <v>254</v>
      </c>
      <c r="L9">
        <v>1368</v>
      </c>
      <c r="N9">
        <v>1011</v>
      </c>
      <c r="O9" t="s">
        <v>255</v>
      </c>
      <c r="P9" t="s">
        <v>255</v>
      </c>
      <c r="Q9">
        <v>1</v>
      </c>
      <c r="W9">
        <v>0</v>
      </c>
      <c r="X9">
        <v>-72110300</v>
      </c>
      <c r="Y9">
        <f t="shared" si="0"/>
        <v>0.01</v>
      </c>
      <c r="AA9">
        <v>0</v>
      </c>
      <c r="AB9">
        <v>399.32</v>
      </c>
      <c r="AC9">
        <v>409.66</v>
      </c>
      <c r="AD9">
        <v>0</v>
      </c>
      <c r="AE9">
        <v>0</v>
      </c>
      <c r="AF9">
        <v>31.27</v>
      </c>
      <c r="AG9">
        <v>13.61</v>
      </c>
      <c r="AH9">
        <v>0</v>
      </c>
      <c r="AI9">
        <v>1</v>
      </c>
      <c r="AJ9">
        <v>12.77</v>
      </c>
      <c r="AK9">
        <v>30.1</v>
      </c>
      <c r="AL9">
        <v>1</v>
      </c>
      <c r="AM9">
        <v>5</v>
      </c>
      <c r="AN9">
        <v>0</v>
      </c>
      <c r="AO9">
        <v>1</v>
      </c>
      <c r="AP9">
        <v>0</v>
      </c>
      <c r="AQ9">
        <v>0</v>
      </c>
      <c r="AR9">
        <v>0</v>
      </c>
      <c r="AS9" t="s">
        <v>6</v>
      </c>
      <c r="AT9">
        <v>0.01</v>
      </c>
      <c r="AU9" t="s">
        <v>6</v>
      </c>
      <c r="AV9">
        <v>0</v>
      </c>
      <c r="AW9">
        <v>2</v>
      </c>
      <c r="AX9">
        <v>74242692</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V9">
        <v>0</v>
      </c>
      <c r="CW9">
        <f>ROUND(Y9*Source!I27*DO9,9)</f>
        <v>0</v>
      </c>
      <c r="CX9">
        <f>ROUND(Y9*Source!I27,9)</f>
        <v>0.19164</v>
      </c>
      <c r="CY9">
        <f>AB9</f>
        <v>399.32</v>
      </c>
      <c r="CZ9">
        <f>AF9</f>
        <v>31.27</v>
      </c>
      <c r="DA9">
        <f>AJ9</f>
        <v>12.77</v>
      </c>
      <c r="DB9">
        <f t="shared" si="1"/>
        <v>0.31</v>
      </c>
      <c r="DC9">
        <f t="shared" si="2"/>
        <v>0.14000000000000001</v>
      </c>
      <c r="DD9" t="s">
        <v>6</v>
      </c>
      <c r="DE9" t="s">
        <v>6</v>
      </c>
      <c r="DF9">
        <f t="shared" si="3"/>
        <v>0</v>
      </c>
      <c r="DG9">
        <f>ROUND(ROUND(AF9*AJ9,0)*CX9,0)</f>
        <v>76</v>
      </c>
      <c r="DH9">
        <f>Source!I27*SmtRes!Y9</f>
        <v>0.19164000000000003</v>
      </c>
      <c r="DI9">
        <f>AB9</f>
        <v>399.32</v>
      </c>
      <c r="DJ9">
        <f>EtalonRes!Z9</f>
        <v>31.27</v>
      </c>
      <c r="DK9">
        <f>Source!BB27</f>
        <v>12.77</v>
      </c>
      <c r="DL9" t="s">
        <v>6</v>
      </c>
      <c r="DM9">
        <v>0</v>
      </c>
      <c r="DN9" t="s">
        <v>6</v>
      </c>
      <c r="DO9">
        <v>0</v>
      </c>
      <c r="GQ9">
        <v>-1</v>
      </c>
      <c r="GR9">
        <v>-1</v>
      </c>
    </row>
    <row r="10" spans="1:200" x14ac:dyDescent="0.2">
      <c r="A10">
        <f>ROW(Source!A27)</f>
        <v>27</v>
      </c>
      <c r="B10">
        <v>74242617</v>
      </c>
      <c r="C10">
        <v>74242683</v>
      </c>
      <c r="D10">
        <v>27441327</v>
      </c>
      <c r="E10">
        <v>1</v>
      </c>
      <c r="F10">
        <v>1</v>
      </c>
      <c r="G10">
        <v>1</v>
      </c>
      <c r="H10">
        <v>2</v>
      </c>
      <c r="I10" t="s">
        <v>256</v>
      </c>
      <c r="J10" t="s">
        <v>257</v>
      </c>
      <c r="K10" t="s">
        <v>258</v>
      </c>
      <c r="L10">
        <v>1368</v>
      </c>
      <c r="N10">
        <v>1011</v>
      </c>
      <c r="O10" t="s">
        <v>255</v>
      </c>
      <c r="P10" t="s">
        <v>255</v>
      </c>
      <c r="Q10">
        <v>1</v>
      </c>
      <c r="W10">
        <v>0</v>
      </c>
      <c r="X10">
        <v>-1583389094</v>
      </c>
      <c r="Y10">
        <f t="shared" si="0"/>
        <v>0.01</v>
      </c>
      <c r="AA10">
        <v>0</v>
      </c>
      <c r="AB10">
        <v>1192.33</v>
      </c>
      <c r="AC10">
        <v>351.87</v>
      </c>
      <c r="AD10">
        <v>0</v>
      </c>
      <c r="AE10">
        <v>0</v>
      </c>
      <c r="AF10">
        <v>93.37</v>
      </c>
      <c r="AG10">
        <v>11.69</v>
      </c>
      <c r="AH10">
        <v>0</v>
      </c>
      <c r="AI10">
        <v>1</v>
      </c>
      <c r="AJ10">
        <v>12.77</v>
      </c>
      <c r="AK10">
        <v>30.1</v>
      </c>
      <c r="AL10">
        <v>1</v>
      </c>
      <c r="AM10">
        <v>5</v>
      </c>
      <c r="AN10">
        <v>0</v>
      </c>
      <c r="AO10">
        <v>1</v>
      </c>
      <c r="AP10">
        <v>0</v>
      </c>
      <c r="AQ10">
        <v>0</v>
      </c>
      <c r="AR10">
        <v>0</v>
      </c>
      <c r="AS10" t="s">
        <v>6</v>
      </c>
      <c r="AT10">
        <v>0.01</v>
      </c>
      <c r="AU10" t="s">
        <v>6</v>
      </c>
      <c r="AV10">
        <v>0</v>
      </c>
      <c r="AW10">
        <v>2</v>
      </c>
      <c r="AX10">
        <v>74242693</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V10">
        <v>0</v>
      </c>
      <c r="CW10">
        <f>ROUND(Y10*Source!I27*DO10,9)</f>
        <v>0</v>
      </c>
      <c r="CX10">
        <f>ROUND(Y10*Source!I27,9)</f>
        <v>0.19164</v>
      </c>
      <c r="CY10">
        <f>AB10</f>
        <v>1192.33</v>
      </c>
      <c r="CZ10">
        <f>AF10</f>
        <v>93.37</v>
      </c>
      <c r="DA10">
        <f>AJ10</f>
        <v>12.77</v>
      </c>
      <c r="DB10">
        <f t="shared" si="1"/>
        <v>0.93</v>
      </c>
      <c r="DC10">
        <f t="shared" si="2"/>
        <v>0.12</v>
      </c>
      <c r="DD10" t="s">
        <v>6</v>
      </c>
      <c r="DE10" t="s">
        <v>6</v>
      </c>
      <c r="DF10">
        <f t="shared" si="3"/>
        <v>0</v>
      </c>
      <c r="DG10">
        <f>ROUND(ROUND(AF10*AJ10,0)*CX10,0)</f>
        <v>228</v>
      </c>
      <c r="DH10">
        <f>Source!I27*SmtRes!Y10</f>
        <v>0.19164000000000003</v>
      </c>
      <c r="DI10">
        <f>AB10</f>
        <v>1192.33</v>
      </c>
      <c r="DJ10">
        <f>EtalonRes!Z10</f>
        <v>93.37</v>
      </c>
      <c r="DK10">
        <f>Source!BB27</f>
        <v>12.77</v>
      </c>
      <c r="DL10" t="s">
        <v>6</v>
      </c>
      <c r="DM10">
        <v>0</v>
      </c>
      <c r="DN10" t="s">
        <v>6</v>
      </c>
      <c r="DO10">
        <v>0</v>
      </c>
      <c r="GQ10">
        <v>-1</v>
      </c>
      <c r="GR10">
        <v>-1</v>
      </c>
    </row>
    <row r="11" spans="1:200" x14ac:dyDescent="0.2">
      <c r="A11">
        <f>ROW(Source!A27)</f>
        <v>27</v>
      </c>
      <c r="B11">
        <v>74242617</v>
      </c>
      <c r="C11">
        <v>74242683</v>
      </c>
      <c r="D11">
        <v>27371543</v>
      </c>
      <c r="E11">
        <v>1</v>
      </c>
      <c r="F11">
        <v>1</v>
      </c>
      <c r="G11">
        <v>1</v>
      </c>
      <c r="H11">
        <v>3</v>
      </c>
      <c r="I11" t="s">
        <v>31</v>
      </c>
      <c r="J11" t="s">
        <v>34</v>
      </c>
      <c r="K11" t="s">
        <v>32</v>
      </c>
      <c r="L11">
        <v>1346</v>
      </c>
      <c r="N11">
        <v>1009</v>
      </c>
      <c r="O11" t="s">
        <v>33</v>
      </c>
      <c r="P11" t="s">
        <v>33</v>
      </c>
      <c r="Q11">
        <v>1</v>
      </c>
      <c r="W11">
        <v>0</v>
      </c>
      <c r="X11">
        <v>-386994921</v>
      </c>
      <c r="Y11">
        <f t="shared" si="0"/>
        <v>0.1</v>
      </c>
      <c r="AA11">
        <v>31</v>
      </c>
      <c r="AB11">
        <v>0</v>
      </c>
      <c r="AC11">
        <v>0</v>
      </c>
      <c r="AD11">
        <v>0</v>
      </c>
      <c r="AE11">
        <v>4.2799999999999994</v>
      </c>
      <c r="AF11">
        <v>0</v>
      </c>
      <c r="AG11">
        <v>0</v>
      </c>
      <c r="AH11">
        <v>0</v>
      </c>
      <c r="AI11">
        <v>7.56</v>
      </c>
      <c r="AJ11">
        <v>1</v>
      </c>
      <c r="AK11">
        <v>1</v>
      </c>
      <c r="AL11">
        <v>1</v>
      </c>
      <c r="AM11">
        <v>0</v>
      </c>
      <c r="AN11">
        <v>0</v>
      </c>
      <c r="AO11">
        <v>0</v>
      </c>
      <c r="AP11">
        <v>1</v>
      </c>
      <c r="AQ11">
        <v>0</v>
      </c>
      <c r="AR11">
        <v>0</v>
      </c>
      <c r="AS11" t="s">
        <v>6</v>
      </c>
      <c r="AT11">
        <v>0.1</v>
      </c>
      <c r="AU11" t="s">
        <v>6</v>
      </c>
      <c r="AV11">
        <v>0</v>
      </c>
      <c r="AW11">
        <v>2</v>
      </c>
      <c r="AX11">
        <v>74242694</v>
      </c>
      <c r="AY11">
        <v>1</v>
      </c>
      <c r="AZ11">
        <v>16384</v>
      </c>
      <c r="BA11">
        <v>11</v>
      </c>
      <c r="BB11">
        <v>3</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V11">
        <v>0</v>
      </c>
      <c r="CW11">
        <v>0</v>
      </c>
      <c r="CX11">
        <f>ROUND(Y11*Source!I27,9)</f>
        <v>1.9164000000000001</v>
      </c>
      <c r="CY11">
        <f>AA11</f>
        <v>31</v>
      </c>
      <c r="CZ11">
        <f>AE11</f>
        <v>4.2799999999999994</v>
      </c>
      <c r="DA11">
        <f>AI11</f>
        <v>7.56</v>
      </c>
      <c r="DB11">
        <f t="shared" si="1"/>
        <v>0.43</v>
      </c>
      <c r="DC11">
        <f t="shared" si="2"/>
        <v>0</v>
      </c>
      <c r="DD11" t="s">
        <v>6</v>
      </c>
      <c r="DE11" t="s">
        <v>6</v>
      </c>
      <c r="DF11">
        <f>ROUND(ROUND(AE11*AI11,0)*CX11,0)</f>
        <v>61</v>
      </c>
      <c r="DG11">
        <f t="shared" ref="DG11:DG20" si="5">ROUND(ROUND(AF11,0)*CX11,0)</f>
        <v>0</v>
      </c>
      <c r="DH11">
        <f>Source!I27*SmtRes!Y11</f>
        <v>1.9164000000000003</v>
      </c>
      <c r="DI11">
        <f>AA11</f>
        <v>31</v>
      </c>
      <c r="DJ11">
        <f>EtalonRes!Y11</f>
        <v>1.82</v>
      </c>
      <c r="DK11">
        <f>Source!BC27</f>
        <v>7.56</v>
      </c>
      <c r="DL11" t="s">
        <v>6</v>
      </c>
      <c r="DM11">
        <v>0</v>
      </c>
      <c r="DN11" t="s">
        <v>6</v>
      </c>
      <c r="DO11">
        <v>0</v>
      </c>
      <c r="GP11">
        <v>1</v>
      </c>
      <c r="GQ11">
        <v>-1</v>
      </c>
      <c r="GR11">
        <v>-1</v>
      </c>
    </row>
    <row r="12" spans="1:200" x14ac:dyDescent="0.2">
      <c r="A12">
        <f>ROW(Source!A27)</f>
        <v>27</v>
      </c>
      <c r="B12">
        <v>74242617</v>
      </c>
      <c r="C12">
        <v>74242683</v>
      </c>
      <c r="D12">
        <v>27373308</v>
      </c>
      <c r="E12">
        <v>1</v>
      </c>
      <c r="F12">
        <v>1</v>
      </c>
      <c r="G12">
        <v>1</v>
      </c>
      <c r="H12">
        <v>3</v>
      </c>
      <c r="I12" t="s">
        <v>42</v>
      </c>
      <c r="J12" t="s">
        <v>45</v>
      </c>
      <c r="K12" t="s">
        <v>43</v>
      </c>
      <c r="L12">
        <v>1348</v>
      </c>
      <c r="N12">
        <v>1009</v>
      </c>
      <c r="O12" t="s">
        <v>44</v>
      </c>
      <c r="P12" t="s">
        <v>44</v>
      </c>
      <c r="Q12">
        <v>1000</v>
      </c>
      <c r="W12">
        <v>0</v>
      </c>
      <c r="X12">
        <v>1777539314</v>
      </c>
      <c r="Y12">
        <f t="shared" si="0"/>
        <v>1.2999999999999999E-2</v>
      </c>
      <c r="AA12">
        <v>40330</v>
      </c>
      <c r="AB12">
        <v>0</v>
      </c>
      <c r="AC12">
        <v>0</v>
      </c>
      <c r="AD12">
        <v>0</v>
      </c>
      <c r="AE12">
        <v>5577.3899999999994</v>
      </c>
      <c r="AF12">
        <v>0</v>
      </c>
      <c r="AG12">
        <v>0</v>
      </c>
      <c r="AH12">
        <v>0</v>
      </c>
      <c r="AI12">
        <v>7.56</v>
      </c>
      <c r="AJ12">
        <v>1</v>
      </c>
      <c r="AK12">
        <v>1</v>
      </c>
      <c r="AL12">
        <v>1</v>
      </c>
      <c r="AM12">
        <v>0</v>
      </c>
      <c r="AN12">
        <v>0</v>
      </c>
      <c r="AO12">
        <v>0</v>
      </c>
      <c r="AP12">
        <v>0</v>
      </c>
      <c r="AQ12">
        <v>0</v>
      </c>
      <c r="AR12">
        <v>0</v>
      </c>
      <c r="AS12" t="s">
        <v>6</v>
      </c>
      <c r="AT12">
        <v>1.2999999999999999E-2</v>
      </c>
      <c r="AU12" t="s">
        <v>6</v>
      </c>
      <c r="AV12">
        <v>0</v>
      </c>
      <c r="AW12">
        <v>1</v>
      </c>
      <c r="AX12">
        <v>-1</v>
      </c>
      <c r="AY12">
        <v>0</v>
      </c>
      <c r="AZ12">
        <v>0</v>
      </c>
      <c r="BA12" t="s">
        <v>6</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V12">
        <v>0</v>
      </c>
      <c r="CW12">
        <v>0</v>
      </c>
      <c r="CX12">
        <f>ROUND(Y12*Source!I27,9)</f>
        <v>0.24913199999999999</v>
      </c>
      <c r="CY12">
        <f>AA12</f>
        <v>40330</v>
      </c>
      <c r="CZ12">
        <f>AE12</f>
        <v>5577.3899999999994</v>
      </c>
      <c r="DA12">
        <f>AI12</f>
        <v>7.56</v>
      </c>
      <c r="DB12">
        <f t="shared" si="1"/>
        <v>72.510000000000005</v>
      </c>
      <c r="DC12">
        <f t="shared" si="2"/>
        <v>0</v>
      </c>
      <c r="DD12" t="s">
        <v>6</v>
      </c>
      <c r="DE12" t="s">
        <v>6</v>
      </c>
      <c r="DF12">
        <f>ROUND(ROUND(AE12*AI12,0)*CX12,0)</f>
        <v>10505</v>
      </c>
      <c r="DG12">
        <f t="shared" si="5"/>
        <v>0</v>
      </c>
      <c r="DH12">
        <f>Source!I27*SmtRes!Y12</f>
        <v>0.24913200000000002</v>
      </c>
      <c r="DI12">
        <f>AA12</f>
        <v>40330</v>
      </c>
      <c r="DJ12">
        <f>DF12</f>
        <v>10505</v>
      </c>
      <c r="DK12">
        <f>Source!BC27</f>
        <v>7.56</v>
      </c>
      <c r="DL12" t="s">
        <v>6</v>
      </c>
      <c r="DM12">
        <v>0</v>
      </c>
      <c r="DN12" t="s">
        <v>6</v>
      </c>
      <c r="DO12">
        <v>0</v>
      </c>
      <c r="GP12">
        <v>1</v>
      </c>
      <c r="GQ12">
        <v>-1</v>
      </c>
      <c r="GR12">
        <v>-1</v>
      </c>
    </row>
    <row r="13" spans="1:200" x14ac:dyDescent="0.2">
      <c r="A13">
        <f>ROW(Source!A33)</f>
        <v>33</v>
      </c>
      <c r="B13">
        <v>74242616</v>
      </c>
      <c r="C13">
        <v>74242699</v>
      </c>
      <c r="D13">
        <v>27834061</v>
      </c>
      <c r="E13">
        <v>1</v>
      </c>
      <c r="F13">
        <v>1</v>
      </c>
      <c r="G13">
        <v>1</v>
      </c>
      <c r="H13">
        <v>1</v>
      </c>
      <c r="I13" t="s">
        <v>259</v>
      </c>
      <c r="J13" t="s">
        <v>6</v>
      </c>
      <c r="K13" t="s">
        <v>260</v>
      </c>
      <c r="L13">
        <v>1369</v>
      </c>
      <c r="N13">
        <v>1013</v>
      </c>
      <c r="O13" t="s">
        <v>249</v>
      </c>
      <c r="P13" t="s">
        <v>249</v>
      </c>
      <c r="Q13">
        <v>1</v>
      </c>
      <c r="W13">
        <v>0</v>
      </c>
      <c r="X13">
        <v>640661137</v>
      </c>
      <c r="Y13">
        <f t="shared" si="0"/>
        <v>1.1000000000000001</v>
      </c>
      <c r="AA13">
        <v>0</v>
      </c>
      <c r="AB13">
        <v>0</v>
      </c>
      <c r="AC13">
        <v>0</v>
      </c>
      <c r="AD13">
        <v>9.6999999999999993</v>
      </c>
      <c r="AE13">
        <v>0</v>
      </c>
      <c r="AF13">
        <v>0</v>
      </c>
      <c r="AG13">
        <v>0</v>
      </c>
      <c r="AH13">
        <v>9.6999999999999993</v>
      </c>
      <c r="AI13">
        <v>1</v>
      </c>
      <c r="AJ13">
        <v>1</v>
      </c>
      <c r="AK13">
        <v>1</v>
      </c>
      <c r="AL13">
        <v>1</v>
      </c>
      <c r="AM13">
        <v>-2</v>
      </c>
      <c r="AN13">
        <v>0</v>
      </c>
      <c r="AO13">
        <v>1</v>
      </c>
      <c r="AP13">
        <v>1</v>
      </c>
      <c r="AQ13">
        <v>0</v>
      </c>
      <c r="AR13">
        <v>0</v>
      </c>
      <c r="AS13" t="s">
        <v>6</v>
      </c>
      <c r="AT13">
        <v>1.1000000000000001</v>
      </c>
      <c r="AU13" t="s">
        <v>6</v>
      </c>
      <c r="AV13">
        <v>1</v>
      </c>
      <c r="AW13">
        <v>2</v>
      </c>
      <c r="AX13">
        <v>74242706</v>
      </c>
      <c r="AY13">
        <v>1</v>
      </c>
      <c r="AZ13">
        <v>0</v>
      </c>
      <c r="BA13">
        <v>13</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U13">
        <f>ROUND(AT13*Source!I33*AH13*AL13,0)</f>
        <v>296</v>
      </c>
      <c r="CV13">
        <f>ROUND(Y13*Source!I33,9)</f>
        <v>30.484300000000001</v>
      </c>
      <c r="CW13">
        <v>0</v>
      </c>
      <c r="CX13">
        <f>ROUND(Y13*Source!I33,9)</f>
        <v>30.484300000000001</v>
      </c>
      <c r="CY13">
        <f>AD13</f>
        <v>9.6999999999999993</v>
      </c>
      <c r="CZ13">
        <f>AH13</f>
        <v>9.6999999999999993</v>
      </c>
      <c r="DA13">
        <f>AL13</f>
        <v>1</v>
      </c>
      <c r="DB13">
        <f t="shared" si="1"/>
        <v>10.67</v>
      </c>
      <c r="DC13">
        <f t="shared" si="2"/>
        <v>0</v>
      </c>
      <c r="DD13" t="s">
        <v>6</v>
      </c>
      <c r="DE13" t="s">
        <v>6</v>
      </c>
      <c r="DF13">
        <f t="shared" ref="DF13:DF22" si="6">ROUND(ROUND(AE13,0)*CX13,0)</f>
        <v>0</v>
      </c>
      <c r="DG13">
        <f t="shared" si="5"/>
        <v>0</v>
      </c>
      <c r="DH13">
        <f>Source!I33*SmtRes!Y13</f>
        <v>30.484300000000005</v>
      </c>
      <c r="DI13">
        <f>AD13</f>
        <v>9.6999999999999993</v>
      </c>
      <c r="DJ13">
        <f>EtalonRes!AB13</f>
        <v>9.6999999999999993</v>
      </c>
      <c r="DK13">
        <f>Source!BA33</f>
        <v>1</v>
      </c>
      <c r="DL13" t="s">
        <v>6</v>
      </c>
      <c r="DM13">
        <v>0</v>
      </c>
      <c r="DN13" t="s">
        <v>6</v>
      </c>
      <c r="DO13">
        <v>0</v>
      </c>
      <c r="GQ13">
        <v>-1</v>
      </c>
      <c r="GR13">
        <v>-1</v>
      </c>
    </row>
    <row r="14" spans="1:200" x14ac:dyDescent="0.2">
      <c r="A14">
        <f>ROW(Source!A33)</f>
        <v>33</v>
      </c>
      <c r="B14">
        <v>74242616</v>
      </c>
      <c r="C14">
        <v>74242699</v>
      </c>
      <c r="D14">
        <v>121548</v>
      </c>
      <c r="E14">
        <v>1</v>
      </c>
      <c r="F14">
        <v>1</v>
      </c>
      <c r="G14">
        <v>1</v>
      </c>
      <c r="H14">
        <v>1</v>
      </c>
      <c r="I14" t="s">
        <v>40</v>
      </c>
      <c r="J14" t="s">
        <v>6</v>
      </c>
      <c r="K14" t="s">
        <v>250</v>
      </c>
      <c r="L14">
        <v>608254</v>
      </c>
      <c r="N14">
        <v>1013</v>
      </c>
      <c r="O14" t="s">
        <v>251</v>
      </c>
      <c r="P14" t="s">
        <v>251</v>
      </c>
      <c r="Q14">
        <v>1</v>
      </c>
      <c r="W14">
        <v>0</v>
      </c>
      <c r="X14">
        <v>-185737400</v>
      </c>
      <c r="Y14">
        <f t="shared" si="0"/>
        <v>0.01</v>
      </c>
      <c r="AA14">
        <v>0</v>
      </c>
      <c r="AB14">
        <v>0</v>
      </c>
      <c r="AC14">
        <v>0</v>
      </c>
      <c r="AD14">
        <v>0</v>
      </c>
      <c r="AE14">
        <v>0</v>
      </c>
      <c r="AF14">
        <v>0</v>
      </c>
      <c r="AG14">
        <v>0</v>
      </c>
      <c r="AH14">
        <v>0</v>
      </c>
      <c r="AI14">
        <v>1</v>
      </c>
      <c r="AJ14">
        <v>1</v>
      </c>
      <c r="AK14">
        <v>1</v>
      </c>
      <c r="AL14">
        <v>1</v>
      </c>
      <c r="AM14">
        <v>-2</v>
      </c>
      <c r="AN14">
        <v>0</v>
      </c>
      <c r="AO14">
        <v>1</v>
      </c>
      <c r="AP14">
        <v>1</v>
      </c>
      <c r="AQ14">
        <v>0</v>
      </c>
      <c r="AR14">
        <v>0</v>
      </c>
      <c r="AS14" t="s">
        <v>6</v>
      </c>
      <c r="AT14">
        <v>0.01</v>
      </c>
      <c r="AU14" t="s">
        <v>6</v>
      </c>
      <c r="AV14">
        <v>2</v>
      </c>
      <c r="AW14">
        <v>2</v>
      </c>
      <c r="AX14">
        <v>74242707</v>
      </c>
      <c r="AY14">
        <v>1</v>
      </c>
      <c r="AZ14">
        <v>0</v>
      </c>
      <c r="BA14">
        <v>14</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V14">
        <v>0</v>
      </c>
      <c r="CW14">
        <v>0</v>
      </c>
      <c r="CX14">
        <f>ROUND(Y14*Source!I33,9)</f>
        <v>0.27712999999999999</v>
      </c>
      <c r="CY14">
        <f>AD14</f>
        <v>0</v>
      </c>
      <c r="CZ14">
        <f>AH14</f>
        <v>0</v>
      </c>
      <c r="DA14">
        <f>AL14</f>
        <v>1</v>
      </c>
      <c r="DB14">
        <f t="shared" si="1"/>
        <v>0</v>
      </c>
      <c r="DC14">
        <f t="shared" si="2"/>
        <v>0</v>
      </c>
      <c r="DD14" t="s">
        <v>6</v>
      </c>
      <c r="DE14" t="s">
        <v>6</v>
      </c>
      <c r="DF14">
        <f t="shared" si="6"/>
        <v>0</v>
      </c>
      <c r="DG14">
        <f t="shared" si="5"/>
        <v>0</v>
      </c>
      <c r="DH14">
        <f>Source!I33*SmtRes!Y14</f>
        <v>0.27713000000000004</v>
      </c>
      <c r="DI14">
        <f>AD14</f>
        <v>0</v>
      </c>
      <c r="DJ14">
        <f>EtalonRes!AB14</f>
        <v>0</v>
      </c>
      <c r="DK14">
        <f>Source!BA33</f>
        <v>1</v>
      </c>
      <c r="DL14" t="s">
        <v>6</v>
      </c>
      <c r="DM14">
        <v>0</v>
      </c>
      <c r="DN14" t="s">
        <v>6</v>
      </c>
      <c r="DO14">
        <v>0</v>
      </c>
      <c r="GQ14">
        <v>-1</v>
      </c>
      <c r="GR14">
        <v>-1</v>
      </c>
    </row>
    <row r="15" spans="1:200" x14ac:dyDescent="0.2">
      <c r="A15">
        <f>ROW(Source!A33)</f>
        <v>33</v>
      </c>
      <c r="B15">
        <v>74242616</v>
      </c>
      <c r="C15">
        <v>74242699</v>
      </c>
      <c r="D15">
        <v>27439630</v>
      </c>
      <c r="E15">
        <v>1</v>
      </c>
      <c r="F15">
        <v>1</v>
      </c>
      <c r="G15">
        <v>1</v>
      </c>
      <c r="H15">
        <v>2</v>
      </c>
      <c r="I15" t="s">
        <v>252</v>
      </c>
      <c r="J15" t="s">
        <v>253</v>
      </c>
      <c r="K15" t="s">
        <v>254</v>
      </c>
      <c r="L15">
        <v>1368</v>
      </c>
      <c r="N15">
        <v>1011</v>
      </c>
      <c r="O15" t="s">
        <v>255</v>
      </c>
      <c r="P15" t="s">
        <v>255</v>
      </c>
      <c r="Q15">
        <v>1</v>
      </c>
      <c r="W15">
        <v>0</v>
      </c>
      <c r="X15">
        <v>-72110300</v>
      </c>
      <c r="Y15">
        <f t="shared" si="0"/>
        <v>2E-3</v>
      </c>
      <c r="AA15">
        <v>0</v>
      </c>
      <c r="AB15">
        <v>31.27</v>
      </c>
      <c r="AC15">
        <v>13.61</v>
      </c>
      <c r="AD15">
        <v>0</v>
      </c>
      <c r="AE15">
        <v>0</v>
      </c>
      <c r="AF15">
        <v>31.27</v>
      </c>
      <c r="AG15">
        <v>13.61</v>
      </c>
      <c r="AH15">
        <v>0</v>
      </c>
      <c r="AI15">
        <v>1</v>
      </c>
      <c r="AJ15">
        <v>1</v>
      </c>
      <c r="AK15">
        <v>1</v>
      </c>
      <c r="AL15">
        <v>1</v>
      </c>
      <c r="AM15">
        <v>-2</v>
      </c>
      <c r="AN15">
        <v>0</v>
      </c>
      <c r="AO15">
        <v>1</v>
      </c>
      <c r="AP15">
        <v>1</v>
      </c>
      <c r="AQ15">
        <v>0</v>
      </c>
      <c r="AR15">
        <v>0</v>
      </c>
      <c r="AS15" t="s">
        <v>6</v>
      </c>
      <c r="AT15">
        <v>2E-3</v>
      </c>
      <c r="AU15" t="s">
        <v>6</v>
      </c>
      <c r="AV15">
        <v>0</v>
      </c>
      <c r="AW15">
        <v>2</v>
      </c>
      <c r="AX15">
        <v>74242708</v>
      </c>
      <c r="AY15">
        <v>1</v>
      </c>
      <c r="AZ15">
        <v>0</v>
      </c>
      <c r="BA15">
        <v>15</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V15">
        <v>0</v>
      </c>
      <c r="CW15">
        <f>ROUND(Y15*Source!I33*DO15,9)</f>
        <v>0</v>
      </c>
      <c r="CX15">
        <f>ROUND(Y15*Source!I33,9)</f>
        <v>5.5426000000000003E-2</v>
      </c>
      <c r="CY15">
        <f>AB15</f>
        <v>31.27</v>
      </c>
      <c r="CZ15">
        <f>AF15</f>
        <v>31.27</v>
      </c>
      <c r="DA15">
        <f>AJ15</f>
        <v>1</v>
      </c>
      <c r="DB15">
        <f t="shared" si="1"/>
        <v>0.06</v>
      </c>
      <c r="DC15">
        <f t="shared" si="2"/>
        <v>0.03</v>
      </c>
      <c r="DD15" t="s">
        <v>6</v>
      </c>
      <c r="DE15" t="s">
        <v>6</v>
      </c>
      <c r="DF15">
        <f t="shared" si="6"/>
        <v>0</v>
      </c>
      <c r="DG15">
        <f t="shared" si="5"/>
        <v>2</v>
      </c>
      <c r="DH15">
        <f>Source!I33*SmtRes!Y15</f>
        <v>5.5426000000000003E-2</v>
      </c>
      <c r="DI15">
        <f>AB15</f>
        <v>31.27</v>
      </c>
      <c r="DJ15">
        <f>EtalonRes!Z15</f>
        <v>31.27</v>
      </c>
      <c r="DK15">
        <f>Source!BB33</f>
        <v>1</v>
      </c>
      <c r="DL15" t="s">
        <v>6</v>
      </c>
      <c r="DM15">
        <v>0</v>
      </c>
      <c r="DN15" t="s">
        <v>6</v>
      </c>
      <c r="DO15">
        <v>0</v>
      </c>
      <c r="GQ15">
        <v>-1</v>
      </c>
      <c r="GR15">
        <v>-1</v>
      </c>
    </row>
    <row r="16" spans="1:200" x14ac:dyDescent="0.2">
      <c r="A16">
        <f>ROW(Source!A33)</f>
        <v>33</v>
      </c>
      <c r="B16">
        <v>74242616</v>
      </c>
      <c r="C16">
        <v>74242699</v>
      </c>
      <c r="D16">
        <v>27441327</v>
      </c>
      <c r="E16">
        <v>1</v>
      </c>
      <c r="F16">
        <v>1</v>
      </c>
      <c r="G16">
        <v>1</v>
      </c>
      <c r="H16">
        <v>2</v>
      </c>
      <c r="I16" t="s">
        <v>256</v>
      </c>
      <c r="J16" t="s">
        <v>257</v>
      </c>
      <c r="K16" t="s">
        <v>258</v>
      </c>
      <c r="L16">
        <v>1368</v>
      </c>
      <c r="N16">
        <v>1011</v>
      </c>
      <c r="O16" t="s">
        <v>255</v>
      </c>
      <c r="P16" t="s">
        <v>255</v>
      </c>
      <c r="Q16">
        <v>1</v>
      </c>
      <c r="W16">
        <v>0</v>
      </c>
      <c r="X16">
        <v>-1583389094</v>
      </c>
      <c r="Y16">
        <f t="shared" si="0"/>
        <v>0.01</v>
      </c>
      <c r="AA16">
        <v>0</v>
      </c>
      <c r="AB16">
        <v>93.37</v>
      </c>
      <c r="AC16">
        <v>11.69</v>
      </c>
      <c r="AD16">
        <v>0</v>
      </c>
      <c r="AE16">
        <v>0</v>
      </c>
      <c r="AF16">
        <v>93.37</v>
      </c>
      <c r="AG16">
        <v>11.69</v>
      </c>
      <c r="AH16">
        <v>0</v>
      </c>
      <c r="AI16">
        <v>1</v>
      </c>
      <c r="AJ16">
        <v>1</v>
      </c>
      <c r="AK16">
        <v>1</v>
      </c>
      <c r="AL16">
        <v>1</v>
      </c>
      <c r="AM16">
        <v>-2</v>
      </c>
      <c r="AN16">
        <v>0</v>
      </c>
      <c r="AO16">
        <v>1</v>
      </c>
      <c r="AP16">
        <v>1</v>
      </c>
      <c r="AQ16">
        <v>0</v>
      </c>
      <c r="AR16">
        <v>0</v>
      </c>
      <c r="AS16" t="s">
        <v>6</v>
      </c>
      <c r="AT16">
        <v>0.01</v>
      </c>
      <c r="AU16" t="s">
        <v>6</v>
      </c>
      <c r="AV16">
        <v>0</v>
      </c>
      <c r="AW16">
        <v>2</v>
      </c>
      <c r="AX16">
        <v>74242709</v>
      </c>
      <c r="AY16">
        <v>1</v>
      </c>
      <c r="AZ16">
        <v>0</v>
      </c>
      <c r="BA16">
        <v>16</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V16">
        <v>0</v>
      </c>
      <c r="CW16">
        <f>ROUND(Y16*Source!I33*DO16,9)</f>
        <v>0</v>
      </c>
      <c r="CX16">
        <f>ROUND(Y16*Source!I33,9)</f>
        <v>0.27712999999999999</v>
      </c>
      <c r="CY16">
        <f>AB16</f>
        <v>93.37</v>
      </c>
      <c r="CZ16">
        <f>AF16</f>
        <v>93.37</v>
      </c>
      <c r="DA16">
        <f>AJ16</f>
        <v>1</v>
      </c>
      <c r="DB16">
        <f t="shared" si="1"/>
        <v>0.93</v>
      </c>
      <c r="DC16">
        <f t="shared" si="2"/>
        <v>0.12</v>
      </c>
      <c r="DD16" t="s">
        <v>6</v>
      </c>
      <c r="DE16" t="s">
        <v>6</v>
      </c>
      <c r="DF16">
        <f t="shared" si="6"/>
        <v>0</v>
      </c>
      <c r="DG16">
        <f t="shared" si="5"/>
        <v>26</v>
      </c>
      <c r="DH16">
        <f>Source!I33*SmtRes!Y16</f>
        <v>0.27713000000000004</v>
      </c>
      <c r="DI16">
        <f>AB16</f>
        <v>93.37</v>
      </c>
      <c r="DJ16">
        <f>EtalonRes!Z16</f>
        <v>93.37</v>
      </c>
      <c r="DK16">
        <f>Source!BB33</f>
        <v>1</v>
      </c>
      <c r="DL16" t="s">
        <v>6</v>
      </c>
      <c r="DM16">
        <v>0</v>
      </c>
      <c r="DN16" t="s">
        <v>6</v>
      </c>
      <c r="DO16">
        <v>0</v>
      </c>
      <c r="GQ16">
        <v>-1</v>
      </c>
      <c r="GR16">
        <v>-1</v>
      </c>
    </row>
    <row r="17" spans="1:200" x14ac:dyDescent="0.2">
      <c r="A17">
        <f>ROW(Source!A33)</f>
        <v>33</v>
      </c>
      <c r="B17">
        <v>74242616</v>
      </c>
      <c r="C17">
        <v>74242699</v>
      </c>
      <c r="D17">
        <v>27371543</v>
      </c>
      <c r="E17">
        <v>1</v>
      </c>
      <c r="F17">
        <v>1</v>
      </c>
      <c r="G17">
        <v>1</v>
      </c>
      <c r="H17">
        <v>3</v>
      </c>
      <c r="I17" t="s">
        <v>31</v>
      </c>
      <c r="J17" t="s">
        <v>34</v>
      </c>
      <c r="K17" t="s">
        <v>32</v>
      </c>
      <c r="L17">
        <v>1346</v>
      </c>
      <c r="N17">
        <v>1009</v>
      </c>
      <c r="O17" t="s">
        <v>33</v>
      </c>
      <c r="P17" t="s">
        <v>33</v>
      </c>
      <c r="Q17">
        <v>1</v>
      </c>
      <c r="W17">
        <v>0</v>
      </c>
      <c r="X17">
        <v>-386994921</v>
      </c>
      <c r="Y17">
        <f t="shared" si="0"/>
        <v>0.1</v>
      </c>
      <c r="AA17">
        <v>1.82</v>
      </c>
      <c r="AB17">
        <v>0</v>
      </c>
      <c r="AC17">
        <v>0</v>
      </c>
      <c r="AD17">
        <v>0</v>
      </c>
      <c r="AE17">
        <v>1.82</v>
      </c>
      <c r="AF17">
        <v>0</v>
      </c>
      <c r="AG17">
        <v>0</v>
      </c>
      <c r="AH17">
        <v>0</v>
      </c>
      <c r="AI17">
        <v>1</v>
      </c>
      <c r="AJ17">
        <v>1</v>
      </c>
      <c r="AK17">
        <v>1</v>
      </c>
      <c r="AL17">
        <v>1</v>
      </c>
      <c r="AM17">
        <v>0</v>
      </c>
      <c r="AN17">
        <v>0</v>
      </c>
      <c r="AO17">
        <v>0</v>
      </c>
      <c r="AP17">
        <v>1</v>
      </c>
      <c r="AQ17">
        <v>0</v>
      </c>
      <c r="AR17">
        <v>0</v>
      </c>
      <c r="AS17" t="s">
        <v>6</v>
      </c>
      <c r="AT17">
        <v>0.1</v>
      </c>
      <c r="AU17" t="s">
        <v>6</v>
      </c>
      <c r="AV17">
        <v>0</v>
      </c>
      <c r="AW17">
        <v>2</v>
      </c>
      <c r="AX17">
        <v>74242710</v>
      </c>
      <c r="AY17">
        <v>1</v>
      </c>
      <c r="AZ17">
        <v>0</v>
      </c>
      <c r="BA17">
        <v>17</v>
      </c>
      <c r="BB17">
        <v>3</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CV17">
        <v>0</v>
      </c>
      <c r="CW17">
        <v>0</v>
      </c>
      <c r="CX17">
        <f>ROUND(Y17*Source!I33,9)</f>
        <v>2.7713000000000001</v>
      </c>
      <c r="CY17">
        <f>AA17</f>
        <v>1.82</v>
      </c>
      <c r="CZ17">
        <f>AE17</f>
        <v>1.82</v>
      </c>
      <c r="DA17">
        <f>AI17</f>
        <v>1</v>
      </c>
      <c r="DB17">
        <f t="shared" si="1"/>
        <v>0.18</v>
      </c>
      <c r="DC17">
        <f t="shared" si="2"/>
        <v>0</v>
      </c>
      <c r="DD17" t="s">
        <v>6</v>
      </c>
      <c r="DE17" t="s">
        <v>6</v>
      </c>
      <c r="DF17">
        <f t="shared" si="6"/>
        <v>6</v>
      </c>
      <c r="DG17">
        <f t="shared" si="5"/>
        <v>0</v>
      </c>
      <c r="DH17">
        <f>Source!I33*SmtRes!Y17</f>
        <v>2.7713000000000001</v>
      </c>
      <c r="DI17">
        <f>AA17</f>
        <v>1.82</v>
      </c>
      <c r="DJ17">
        <f>EtalonRes!Y17</f>
        <v>1.82</v>
      </c>
      <c r="DK17">
        <f>Source!BC33</f>
        <v>1</v>
      </c>
      <c r="DL17" t="s">
        <v>6</v>
      </c>
      <c r="DM17">
        <v>0</v>
      </c>
      <c r="DN17" t="s">
        <v>6</v>
      </c>
      <c r="DO17">
        <v>0</v>
      </c>
      <c r="GP17">
        <v>1</v>
      </c>
      <c r="GQ17">
        <v>-1</v>
      </c>
      <c r="GR17">
        <v>-1</v>
      </c>
    </row>
    <row r="18" spans="1:200" x14ac:dyDescent="0.2">
      <c r="A18">
        <f>ROW(Source!A33)</f>
        <v>33</v>
      </c>
      <c r="B18">
        <v>74242616</v>
      </c>
      <c r="C18">
        <v>74242699</v>
      </c>
      <c r="D18">
        <v>27373308</v>
      </c>
      <c r="E18">
        <v>1</v>
      </c>
      <c r="F18">
        <v>1</v>
      </c>
      <c r="G18">
        <v>1</v>
      </c>
      <c r="H18">
        <v>3</v>
      </c>
      <c r="I18" t="s">
        <v>42</v>
      </c>
      <c r="J18" t="s">
        <v>45</v>
      </c>
      <c r="K18" t="s">
        <v>55</v>
      </c>
      <c r="L18">
        <v>1348</v>
      </c>
      <c r="N18">
        <v>1009</v>
      </c>
      <c r="O18" t="s">
        <v>44</v>
      </c>
      <c r="P18" t="s">
        <v>44</v>
      </c>
      <c r="Q18">
        <v>1000</v>
      </c>
      <c r="W18">
        <v>0</v>
      </c>
      <c r="X18">
        <v>-1720905458</v>
      </c>
      <c r="Y18">
        <f t="shared" si="0"/>
        <v>1.32E-2</v>
      </c>
      <c r="AA18">
        <v>11293.16</v>
      </c>
      <c r="AB18">
        <v>0</v>
      </c>
      <c r="AC18">
        <v>0</v>
      </c>
      <c r="AD18">
        <v>0</v>
      </c>
      <c r="AE18">
        <v>11293.16</v>
      </c>
      <c r="AF18">
        <v>0</v>
      </c>
      <c r="AG18">
        <v>0</v>
      </c>
      <c r="AH18">
        <v>0</v>
      </c>
      <c r="AI18">
        <v>1</v>
      </c>
      <c r="AJ18">
        <v>1</v>
      </c>
      <c r="AK18">
        <v>1</v>
      </c>
      <c r="AL18">
        <v>1</v>
      </c>
      <c r="AM18">
        <v>0</v>
      </c>
      <c r="AN18">
        <v>0</v>
      </c>
      <c r="AO18">
        <v>0</v>
      </c>
      <c r="AP18">
        <v>1</v>
      </c>
      <c r="AQ18">
        <v>0</v>
      </c>
      <c r="AR18">
        <v>0</v>
      </c>
      <c r="AS18" t="s">
        <v>6</v>
      </c>
      <c r="AT18">
        <v>1.32E-2</v>
      </c>
      <c r="AU18" t="s">
        <v>6</v>
      </c>
      <c r="AV18">
        <v>0</v>
      </c>
      <c r="AW18">
        <v>1</v>
      </c>
      <c r="AX18">
        <v>-1</v>
      </c>
      <c r="AY18">
        <v>0</v>
      </c>
      <c r="AZ18">
        <v>0</v>
      </c>
      <c r="BA18" t="s">
        <v>6</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CV18">
        <v>0</v>
      </c>
      <c r="CW18">
        <v>0</v>
      </c>
      <c r="CX18">
        <f>ROUND(Y18*Source!I33,9)</f>
        <v>0.36581160000000001</v>
      </c>
      <c r="CY18">
        <f>AA18</f>
        <v>11293.16</v>
      </c>
      <c r="CZ18">
        <f>AE18</f>
        <v>11293.16</v>
      </c>
      <c r="DA18">
        <f>AI18</f>
        <v>1</v>
      </c>
      <c r="DB18">
        <f t="shared" si="1"/>
        <v>149.07</v>
      </c>
      <c r="DC18">
        <f t="shared" si="2"/>
        <v>0</v>
      </c>
      <c r="DD18" t="s">
        <v>6</v>
      </c>
      <c r="DE18" t="s">
        <v>6</v>
      </c>
      <c r="DF18">
        <f t="shared" si="6"/>
        <v>4131</v>
      </c>
      <c r="DG18">
        <f t="shared" si="5"/>
        <v>0</v>
      </c>
      <c r="DH18">
        <f>Source!I33*SmtRes!Y18</f>
        <v>0.36581160000000001</v>
      </c>
      <c r="DI18">
        <f>AA18</f>
        <v>11293.16</v>
      </c>
      <c r="DJ18">
        <f>DF18</f>
        <v>4131</v>
      </c>
      <c r="DK18">
        <f>Source!BC33</f>
        <v>1</v>
      </c>
      <c r="DL18" t="s">
        <v>6</v>
      </c>
      <c r="DM18">
        <v>0</v>
      </c>
      <c r="DN18" t="s">
        <v>6</v>
      </c>
      <c r="DO18">
        <v>0</v>
      </c>
      <c r="GP18">
        <v>1</v>
      </c>
      <c r="GQ18">
        <v>-1</v>
      </c>
      <c r="GR18">
        <v>-1</v>
      </c>
    </row>
    <row r="19" spans="1:200" x14ac:dyDescent="0.2">
      <c r="A19">
        <f>ROW(Source!A34)</f>
        <v>34</v>
      </c>
      <c r="B19">
        <v>74242617</v>
      </c>
      <c r="C19">
        <v>74242699</v>
      </c>
      <c r="D19">
        <v>27834061</v>
      </c>
      <c r="E19">
        <v>1</v>
      </c>
      <c r="F19">
        <v>1</v>
      </c>
      <c r="G19">
        <v>1</v>
      </c>
      <c r="H19">
        <v>1</v>
      </c>
      <c r="I19" t="s">
        <v>259</v>
      </c>
      <c r="J19" t="s">
        <v>6</v>
      </c>
      <c r="K19" t="s">
        <v>260</v>
      </c>
      <c r="L19">
        <v>1369</v>
      </c>
      <c r="N19">
        <v>1013</v>
      </c>
      <c r="O19" t="s">
        <v>249</v>
      </c>
      <c r="P19" t="s">
        <v>249</v>
      </c>
      <c r="Q19">
        <v>1</v>
      </c>
      <c r="W19">
        <v>0</v>
      </c>
      <c r="X19">
        <v>640661137</v>
      </c>
      <c r="Y19">
        <f t="shared" si="0"/>
        <v>1.1000000000000001</v>
      </c>
      <c r="AA19">
        <v>0</v>
      </c>
      <c r="AB19">
        <v>0</v>
      </c>
      <c r="AC19">
        <v>0</v>
      </c>
      <c r="AD19">
        <v>370.44</v>
      </c>
      <c r="AE19">
        <v>0</v>
      </c>
      <c r="AF19">
        <v>0</v>
      </c>
      <c r="AG19">
        <v>0</v>
      </c>
      <c r="AH19">
        <v>9.6999999999999993</v>
      </c>
      <c r="AI19">
        <v>1</v>
      </c>
      <c r="AJ19">
        <v>1</v>
      </c>
      <c r="AK19">
        <v>1</v>
      </c>
      <c r="AL19">
        <v>38.19</v>
      </c>
      <c r="AM19">
        <v>5</v>
      </c>
      <c r="AN19">
        <v>0</v>
      </c>
      <c r="AO19">
        <v>1</v>
      </c>
      <c r="AP19">
        <v>1</v>
      </c>
      <c r="AQ19">
        <v>0</v>
      </c>
      <c r="AR19">
        <v>0</v>
      </c>
      <c r="AS19" t="s">
        <v>6</v>
      </c>
      <c r="AT19">
        <v>1.1000000000000001</v>
      </c>
      <c r="AU19" t="s">
        <v>6</v>
      </c>
      <c r="AV19">
        <v>1</v>
      </c>
      <c r="AW19">
        <v>2</v>
      </c>
      <c r="AX19">
        <v>74242706</v>
      </c>
      <c r="AY19">
        <v>1</v>
      </c>
      <c r="AZ19">
        <v>0</v>
      </c>
      <c r="BA19">
        <v>19</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CU19">
        <f>ROUND(AT19*Source!I34*AH19*AL19,0)</f>
        <v>11293</v>
      </c>
      <c r="CV19">
        <f>ROUND(Y19*Source!I34,9)</f>
        <v>30.484300000000001</v>
      </c>
      <c r="CW19">
        <v>0</v>
      </c>
      <c r="CX19">
        <f>ROUND(Y19*Source!I34,9)</f>
        <v>30.484300000000001</v>
      </c>
      <c r="CY19">
        <f>AD19</f>
        <v>370.44</v>
      </c>
      <c r="CZ19">
        <f>AH19</f>
        <v>9.6999999999999993</v>
      </c>
      <c r="DA19">
        <f>AL19</f>
        <v>38.19</v>
      </c>
      <c r="DB19">
        <f t="shared" si="1"/>
        <v>10.67</v>
      </c>
      <c r="DC19">
        <f t="shared" si="2"/>
        <v>0</v>
      </c>
      <c r="DD19" t="s">
        <v>6</v>
      </c>
      <c r="DE19" t="s">
        <v>6</v>
      </c>
      <c r="DF19">
        <f t="shared" si="6"/>
        <v>0</v>
      </c>
      <c r="DG19">
        <f t="shared" si="5"/>
        <v>0</v>
      </c>
      <c r="DH19">
        <f>Source!I34*SmtRes!Y19</f>
        <v>30.484300000000005</v>
      </c>
      <c r="DI19">
        <f>AD19</f>
        <v>370.44</v>
      </c>
      <c r="DJ19">
        <f>EtalonRes!AB19</f>
        <v>9.6999999999999993</v>
      </c>
      <c r="DK19">
        <f>Source!BA34</f>
        <v>38.19</v>
      </c>
      <c r="DL19" t="s">
        <v>6</v>
      </c>
      <c r="DM19">
        <v>0</v>
      </c>
      <c r="DN19" t="s">
        <v>6</v>
      </c>
      <c r="DO19">
        <v>0</v>
      </c>
      <c r="GQ19">
        <v>-1</v>
      </c>
      <c r="GR19">
        <v>-1</v>
      </c>
    </row>
    <row r="20" spans="1:200" x14ac:dyDescent="0.2">
      <c r="A20">
        <f>ROW(Source!A34)</f>
        <v>34</v>
      </c>
      <c r="B20">
        <v>74242617</v>
      </c>
      <c r="C20">
        <v>74242699</v>
      </c>
      <c r="D20">
        <v>121548</v>
      </c>
      <c r="E20">
        <v>1</v>
      </c>
      <c r="F20">
        <v>1</v>
      </c>
      <c r="G20">
        <v>1</v>
      </c>
      <c r="H20">
        <v>1</v>
      </c>
      <c r="I20" t="s">
        <v>40</v>
      </c>
      <c r="J20" t="s">
        <v>6</v>
      </c>
      <c r="K20" t="s">
        <v>250</v>
      </c>
      <c r="L20">
        <v>608254</v>
      </c>
      <c r="N20">
        <v>1013</v>
      </c>
      <c r="O20" t="s">
        <v>251</v>
      </c>
      <c r="P20" t="s">
        <v>251</v>
      </c>
      <c r="Q20">
        <v>1</v>
      </c>
      <c r="W20">
        <v>0</v>
      </c>
      <c r="X20">
        <v>-185737400</v>
      </c>
      <c r="Y20">
        <f t="shared" si="0"/>
        <v>0.01</v>
      </c>
      <c r="AA20">
        <v>0</v>
      </c>
      <c r="AB20">
        <v>0</v>
      </c>
      <c r="AC20">
        <v>0</v>
      </c>
      <c r="AD20">
        <v>0</v>
      </c>
      <c r="AE20">
        <v>0</v>
      </c>
      <c r="AF20">
        <v>0</v>
      </c>
      <c r="AG20">
        <v>0</v>
      </c>
      <c r="AH20">
        <v>0</v>
      </c>
      <c r="AI20">
        <v>1</v>
      </c>
      <c r="AJ20">
        <v>1</v>
      </c>
      <c r="AK20">
        <v>30.1</v>
      </c>
      <c r="AL20">
        <v>1</v>
      </c>
      <c r="AM20">
        <v>5</v>
      </c>
      <c r="AN20">
        <v>0</v>
      </c>
      <c r="AO20">
        <v>1</v>
      </c>
      <c r="AP20">
        <v>1</v>
      </c>
      <c r="AQ20">
        <v>0</v>
      </c>
      <c r="AR20">
        <v>0</v>
      </c>
      <c r="AS20" t="s">
        <v>6</v>
      </c>
      <c r="AT20">
        <v>0.01</v>
      </c>
      <c r="AU20" t="s">
        <v>6</v>
      </c>
      <c r="AV20">
        <v>2</v>
      </c>
      <c r="AW20">
        <v>2</v>
      </c>
      <c r="AX20">
        <v>74242707</v>
      </c>
      <c r="AY20">
        <v>1</v>
      </c>
      <c r="AZ20">
        <v>0</v>
      </c>
      <c r="BA20">
        <v>20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CV20">
        <v>0</v>
      </c>
      <c r="CW20">
        <v>0</v>
      </c>
      <c r="CX20">
        <f>ROUND(Y20*Source!I34,9)</f>
        <v>0.27712999999999999</v>
      </c>
      <c r="CY20">
        <f>AD20</f>
        <v>0</v>
      </c>
      <c r="CZ20">
        <f>AH20</f>
        <v>0</v>
      </c>
      <c r="DA20">
        <f>AL20</f>
        <v>1</v>
      </c>
      <c r="DB20">
        <f t="shared" si="1"/>
        <v>0</v>
      </c>
      <c r="DC20">
        <f t="shared" si="2"/>
        <v>0</v>
      </c>
      <c r="DD20" t="s">
        <v>6</v>
      </c>
      <c r="DE20" t="s">
        <v>6</v>
      </c>
      <c r="DF20">
        <f t="shared" si="6"/>
        <v>0</v>
      </c>
      <c r="DG20">
        <f t="shared" si="5"/>
        <v>0</v>
      </c>
      <c r="DH20">
        <f>Source!I34*SmtRes!Y20</f>
        <v>0.27713000000000004</v>
      </c>
      <c r="DI20">
        <f>AD20</f>
        <v>0</v>
      </c>
      <c r="DJ20">
        <f>EtalonRes!AB20</f>
        <v>0</v>
      </c>
      <c r="DK20">
        <f>Source!BA34</f>
        <v>38.19</v>
      </c>
      <c r="DL20" t="s">
        <v>6</v>
      </c>
      <c r="DM20">
        <v>0</v>
      </c>
      <c r="DN20" t="s">
        <v>6</v>
      </c>
      <c r="DO20">
        <v>0</v>
      </c>
      <c r="GQ20">
        <v>-1</v>
      </c>
      <c r="GR20">
        <v>-1</v>
      </c>
    </row>
    <row r="21" spans="1:200" x14ac:dyDescent="0.2">
      <c r="A21">
        <f>ROW(Source!A34)</f>
        <v>34</v>
      </c>
      <c r="B21">
        <v>74242617</v>
      </c>
      <c r="C21">
        <v>74242699</v>
      </c>
      <c r="D21">
        <v>27439630</v>
      </c>
      <c r="E21">
        <v>1</v>
      </c>
      <c r="F21">
        <v>1</v>
      </c>
      <c r="G21">
        <v>1</v>
      </c>
      <c r="H21">
        <v>2</v>
      </c>
      <c r="I21" t="s">
        <v>252</v>
      </c>
      <c r="J21" t="s">
        <v>253</v>
      </c>
      <c r="K21" t="s">
        <v>254</v>
      </c>
      <c r="L21">
        <v>1368</v>
      </c>
      <c r="N21">
        <v>1011</v>
      </c>
      <c r="O21" t="s">
        <v>255</v>
      </c>
      <c r="P21" t="s">
        <v>255</v>
      </c>
      <c r="Q21">
        <v>1</v>
      </c>
      <c r="W21">
        <v>0</v>
      </c>
      <c r="X21">
        <v>-72110300</v>
      </c>
      <c r="Y21">
        <f t="shared" si="0"/>
        <v>2E-3</v>
      </c>
      <c r="AA21">
        <v>0</v>
      </c>
      <c r="AB21">
        <v>399.32</v>
      </c>
      <c r="AC21">
        <v>409.66</v>
      </c>
      <c r="AD21">
        <v>0</v>
      </c>
      <c r="AE21">
        <v>0</v>
      </c>
      <c r="AF21">
        <v>31.27</v>
      </c>
      <c r="AG21">
        <v>13.61</v>
      </c>
      <c r="AH21">
        <v>0</v>
      </c>
      <c r="AI21">
        <v>1</v>
      </c>
      <c r="AJ21">
        <v>12.77</v>
      </c>
      <c r="AK21">
        <v>30.1</v>
      </c>
      <c r="AL21">
        <v>1</v>
      </c>
      <c r="AM21">
        <v>5</v>
      </c>
      <c r="AN21">
        <v>0</v>
      </c>
      <c r="AO21">
        <v>1</v>
      </c>
      <c r="AP21">
        <v>1</v>
      </c>
      <c r="AQ21">
        <v>0</v>
      </c>
      <c r="AR21">
        <v>0</v>
      </c>
      <c r="AS21" t="s">
        <v>6</v>
      </c>
      <c r="AT21">
        <v>2E-3</v>
      </c>
      <c r="AU21" t="s">
        <v>6</v>
      </c>
      <c r="AV21">
        <v>0</v>
      </c>
      <c r="AW21">
        <v>2</v>
      </c>
      <c r="AX21">
        <v>74242708</v>
      </c>
      <c r="AY21">
        <v>1</v>
      </c>
      <c r="AZ21">
        <v>0</v>
      </c>
      <c r="BA21">
        <v>21</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CV21">
        <v>0</v>
      </c>
      <c r="CW21">
        <f>ROUND(Y21*Source!I34*DO21,9)</f>
        <v>0</v>
      </c>
      <c r="CX21">
        <f>ROUND(Y21*Source!I34,9)</f>
        <v>5.5426000000000003E-2</v>
      </c>
      <c r="CY21">
        <f>AB21</f>
        <v>399.32</v>
      </c>
      <c r="CZ21">
        <f>AF21</f>
        <v>31.27</v>
      </c>
      <c r="DA21">
        <f>AJ21</f>
        <v>12.77</v>
      </c>
      <c r="DB21">
        <f t="shared" si="1"/>
        <v>0.06</v>
      </c>
      <c r="DC21">
        <f t="shared" si="2"/>
        <v>0.03</v>
      </c>
      <c r="DD21" t="s">
        <v>6</v>
      </c>
      <c r="DE21" t="s">
        <v>6</v>
      </c>
      <c r="DF21">
        <f t="shared" si="6"/>
        <v>0</v>
      </c>
      <c r="DG21">
        <f>ROUND(ROUND(AF21*AJ21,0)*CX21,0)</f>
        <v>22</v>
      </c>
      <c r="DH21">
        <f>Source!I34*SmtRes!Y21</f>
        <v>5.5426000000000003E-2</v>
      </c>
      <c r="DI21">
        <f>AB21</f>
        <v>399.32</v>
      </c>
      <c r="DJ21">
        <f>EtalonRes!Z21</f>
        <v>31.27</v>
      </c>
      <c r="DK21">
        <f>Source!BB34</f>
        <v>12.77</v>
      </c>
      <c r="DL21" t="s">
        <v>6</v>
      </c>
      <c r="DM21">
        <v>0</v>
      </c>
      <c r="DN21" t="s">
        <v>6</v>
      </c>
      <c r="DO21">
        <v>0</v>
      </c>
      <c r="GQ21">
        <v>-1</v>
      </c>
      <c r="GR21">
        <v>-1</v>
      </c>
    </row>
    <row r="22" spans="1:200" x14ac:dyDescent="0.2">
      <c r="A22">
        <f>ROW(Source!A34)</f>
        <v>34</v>
      </c>
      <c r="B22">
        <v>74242617</v>
      </c>
      <c r="C22">
        <v>74242699</v>
      </c>
      <c r="D22">
        <v>27441327</v>
      </c>
      <c r="E22">
        <v>1</v>
      </c>
      <c r="F22">
        <v>1</v>
      </c>
      <c r="G22">
        <v>1</v>
      </c>
      <c r="H22">
        <v>2</v>
      </c>
      <c r="I22" t="s">
        <v>256</v>
      </c>
      <c r="J22" t="s">
        <v>257</v>
      </c>
      <c r="K22" t="s">
        <v>258</v>
      </c>
      <c r="L22">
        <v>1368</v>
      </c>
      <c r="N22">
        <v>1011</v>
      </c>
      <c r="O22" t="s">
        <v>255</v>
      </c>
      <c r="P22" t="s">
        <v>255</v>
      </c>
      <c r="Q22">
        <v>1</v>
      </c>
      <c r="W22">
        <v>0</v>
      </c>
      <c r="X22">
        <v>-1583389094</v>
      </c>
      <c r="Y22">
        <f t="shared" si="0"/>
        <v>0.01</v>
      </c>
      <c r="AA22">
        <v>0</v>
      </c>
      <c r="AB22">
        <v>1192.33</v>
      </c>
      <c r="AC22">
        <v>351.87</v>
      </c>
      <c r="AD22">
        <v>0</v>
      </c>
      <c r="AE22">
        <v>0</v>
      </c>
      <c r="AF22">
        <v>93.37</v>
      </c>
      <c r="AG22">
        <v>11.69</v>
      </c>
      <c r="AH22">
        <v>0</v>
      </c>
      <c r="AI22">
        <v>1</v>
      </c>
      <c r="AJ22">
        <v>12.77</v>
      </c>
      <c r="AK22">
        <v>30.1</v>
      </c>
      <c r="AL22">
        <v>1</v>
      </c>
      <c r="AM22">
        <v>5</v>
      </c>
      <c r="AN22">
        <v>0</v>
      </c>
      <c r="AO22">
        <v>1</v>
      </c>
      <c r="AP22">
        <v>1</v>
      </c>
      <c r="AQ22">
        <v>0</v>
      </c>
      <c r="AR22">
        <v>0</v>
      </c>
      <c r="AS22" t="s">
        <v>6</v>
      </c>
      <c r="AT22">
        <v>0.01</v>
      </c>
      <c r="AU22" t="s">
        <v>6</v>
      </c>
      <c r="AV22">
        <v>0</v>
      </c>
      <c r="AW22">
        <v>2</v>
      </c>
      <c r="AX22">
        <v>74242709</v>
      </c>
      <c r="AY22">
        <v>1</v>
      </c>
      <c r="AZ22">
        <v>0</v>
      </c>
      <c r="BA22">
        <v>22</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CV22">
        <v>0</v>
      </c>
      <c r="CW22">
        <f>ROUND(Y22*Source!I34*DO22,9)</f>
        <v>0</v>
      </c>
      <c r="CX22">
        <f>ROUND(Y22*Source!I34,9)</f>
        <v>0.27712999999999999</v>
      </c>
      <c r="CY22">
        <f>AB22</f>
        <v>1192.33</v>
      </c>
      <c r="CZ22">
        <f>AF22</f>
        <v>93.37</v>
      </c>
      <c r="DA22">
        <f>AJ22</f>
        <v>12.77</v>
      </c>
      <c r="DB22">
        <f t="shared" si="1"/>
        <v>0.93</v>
      </c>
      <c r="DC22">
        <f t="shared" si="2"/>
        <v>0.12</v>
      </c>
      <c r="DD22" t="s">
        <v>6</v>
      </c>
      <c r="DE22" t="s">
        <v>6</v>
      </c>
      <c r="DF22">
        <f t="shared" si="6"/>
        <v>0</v>
      </c>
      <c r="DG22">
        <f>ROUND(ROUND(AF22*AJ22,0)*CX22,0)</f>
        <v>330</v>
      </c>
      <c r="DH22">
        <f>Source!I34*SmtRes!Y22</f>
        <v>0.27713000000000004</v>
      </c>
      <c r="DI22">
        <f>AB22</f>
        <v>1192.33</v>
      </c>
      <c r="DJ22">
        <f>EtalonRes!Z22</f>
        <v>93.37</v>
      </c>
      <c r="DK22">
        <f>Source!BB34</f>
        <v>12.77</v>
      </c>
      <c r="DL22" t="s">
        <v>6</v>
      </c>
      <c r="DM22">
        <v>0</v>
      </c>
      <c r="DN22" t="s">
        <v>6</v>
      </c>
      <c r="DO22">
        <v>0</v>
      </c>
      <c r="GQ22">
        <v>-1</v>
      </c>
      <c r="GR22">
        <v>-1</v>
      </c>
    </row>
    <row r="23" spans="1:200" x14ac:dyDescent="0.2">
      <c r="A23">
        <f>ROW(Source!A34)</f>
        <v>34</v>
      </c>
      <c r="B23">
        <v>74242617</v>
      </c>
      <c r="C23">
        <v>74242699</v>
      </c>
      <c r="D23">
        <v>27371543</v>
      </c>
      <c r="E23">
        <v>1</v>
      </c>
      <c r="F23">
        <v>1</v>
      </c>
      <c r="G23">
        <v>1</v>
      </c>
      <c r="H23">
        <v>3</v>
      </c>
      <c r="I23" t="s">
        <v>31</v>
      </c>
      <c r="J23" t="s">
        <v>34</v>
      </c>
      <c r="K23" t="s">
        <v>32</v>
      </c>
      <c r="L23">
        <v>1346</v>
      </c>
      <c r="N23">
        <v>1009</v>
      </c>
      <c r="O23" t="s">
        <v>33</v>
      </c>
      <c r="P23" t="s">
        <v>33</v>
      </c>
      <c r="Q23">
        <v>1</v>
      </c>
      <c r="W23">
        <v>0</v>
      </c>
      <c r="X23">
        <v>-386994921</v>
      </c>
      <c r="Y23">
        <f t="shared" si="0"/>
        <v>0.1</v>
      </c>
      <c r="AA23">
        <v>31</v>
      </c>
      <c r="AB23">
        <v>0</v>
      </c>
      <c r="AC23">
        <v>0</v>
      </c>
      <c r="AD23">
        <v>0</v>
      </c>
      <c r="AE23">
        <v>4.2799999999999994</v>
      </c>
      <c r="AF23">
        <v>0</v>
      </c>
      <c r="AG23">
        <v>0</v>
      </c>
      <c r="AH23">
        <v>0</v>
      </c>
      <c r="AI23">
        <v>7.56</v>
      </c>
      <c r="AJ23">
        <v>1</v>
      </c>
      <c r="AK23">
        <v>1</v>
      </c>
      <c r="AL23">
        <v>1</v>
      </c>
      <c r="AM23">
        <v>0</v>
      </c>
      <c r="AN23">
        <v>0</v>
      </c>
      <c r="AO23">
        <v>0</v>
      </c>
      <c r="AP23">
        <v>1</v>
      </c>
      <c r="AQ23">
        <v>0</v>
      </c>
      <c r="AR23">
        <v>0</v>
      </c>
      <c r="AS23" t="s">
        <v>6</v>
      </c>
      <c r="AT23">
        <v>0.1</v>
      </c>
      <c r="AU23" t="s">
        <v>6</v>
      </c>
      <c r="AV23">
        <v>0</v>
      </c>
      <c r="AW23">
        <v>2</v>
      </c>
      <c r="AX23">
        <v>74242710</v>
      </c>
      <c r="AY23">
        <v>1</v>
      </c>
      <c r="AZ23">
        <v>16384</v>
      </c>
      <c r="BA23">
        <v>23</v>
      </c>
      <c r="BB23">
        <v>3</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CV23">
        <v>0</v>
      </c>
      <c r="CW23">
        <v>0</v>
      </c>
      <c r="CX23">
        <f>ROUND(Y23*Source!I34,9)</f>
        <v>2.7713000000000001</v>
      </c>
      <c r="CY23">
        <f>AA23</f>
        <v>31</v>
      </c>
      <c r="CZ23">
        <f>AE23</f>
        <v>4.2799999999999994</v>
      </c>
      <c r="DA23">
        <f>AI23</f>
        <v>7.56</v>
      </c>
      <c r="DB23">
        <f t="shared" si="1"/>
        <v>0.43</v>
      </c>
      <c r="DC23">
        <f t="shared" si="2"/>
        <v>0</v>
      </c>
      <c r="DD23" t="s">
        <v>6</v>
      </c>
      <c r="DE23" t="s">
        <v>6</v>
      </c>
      <c r="DF23">
        <f>ROUND(ROUND(AE23*AI23,0)*CX23,0)</f>
        <v>89</v>
      </c>
      <c r="DG23">
        <f t="shared" ref="DG23:DG35" si="7">ROUND(ROUND(AF23,0)*CX23,0)</f>
        <v>0</v>
      </c>
      <c r="DH23">
        <f>Source!I34*SmtRes!Y23</f>
        <v>2.7713000000000001</v>
      </c>
      <c r="DI23">
        <f>AA23</f>
        <v>31</v>
      </c>
      <c r="DJ23">
        <f>EtalonRes!Y23</f>
        <v>1.82</v>
      </c>
      <c r="DK23">
        <f>Source!BC34</f>
        <v>7.56</v>
      </c>
      <c r="DL23" t="s">
        <v>6</v>
      </c>
      <c r="DM23">
        <v>0</v>
      </c>
      <c r="DN23" t="s">
        <v>6</v>
      </c>
      <c r="DO23">
        <v>0</v>
      </c>
      <c r="GP23">
        <v>1</v>
      </c>
      <c r="GQ23">
        <v>-1</v>
      </c>
      <c r="GR23">
        <v>-1</v>
      </c>
    </row>
    <row r="24" spans="1:200" x14ac:dyDescent="0.2">
      <c r="A24">
        <f>ROW(Source!A34)</f>
        <v>34</v>
      </c>
      <c r="B24">
        <v>74242617</v>
      </c>
      <c r="C24">
        <v>74242699</v>
      </c>
      <c r="D24">
        <v>27373308</v>
      </c>
      <c r="E24">
        <v>1</v>
      </c>
      <c r="F24">
        <v>1</v>
      </c>
      <c r="G24">
        <v>1</v>
      </c>
      <c r="H24">
        <v>3</v>
      </c>
      <c r="I24" t="s">
        <v>42</v>
      </c>
      <c r="J24" t="s">
        <v>45</v>
      </c>
      <c r="K24" t="s">
        <v>55</v>
      </c>
      <c r="L24">
        <v>1348</v>
      </c>
      <c r="N24">
        <v>1009</v>
      </c>
      <c r="O24" t="s">
        <v>44</v>
      </c>
      <c r="P24" t="s">
        <v>44</v>
      </c>
      <c r="Q24">
        <v>1000</v>
      </c>
      <c r="W24">
        <v>0</v>
      </c>
      <c r="X24">
        <v>-1720905458</v>
      </c>
      <c r="Y24">
        <f t="shared" si="0"/>
        <v>1.32E-2</v>
      </c>
      <c r="AA24">
        <v>40330</v>
      </c>
      <c r="AB24">
        <v>0</v>
      </c>
      <c r="AC24">
        <v>0</v>
      </c>
      <c r="AD24">
        <v>0</v>
      </c>
      <c r="AE24">
        <v>5577.3899999999994</v>
      </c>
      <c r="AF24">
        <v>0</v>
      </c>
      <c r="AG24">
        <v>0</v>
      </c>
      <c r="AH24">
        <v>0</v>
      </c>
      <c r="AI24">
        <v>7.56</v>
      </c>
      <c r="AJ24">
        <v>1</v>
      </c>
      <c r="AK24">
        <v>1</v>
      </c>
      <c r="AL24">
        <v>1</v>
      </c>
      <c r="AM24">
        <v>0</v>
      </c>
      <c r="AN24">
        <v>0</v>
      </c>
      <c r="AO24">
        <v>0</v>
      </c>
      <c r="AP24">
        <v>1</v>
      </c>
      <c r="AQ24">
        <v>0</v>
      </c>
      <c r="AR24">
        <v>0</v>
      </c>
      <c r="AS24" t="s">
        <v>6</v>
      </c>
      <c r="AT24">
        <v>1.32E-2</v>
      </c>
      <c r="AU24" t="s">
        <v>6</v>
      </c>
      <c r="AV24">
        <v>0</v>
      </c>
      <c r="AW24">
        <v>1</v>
      </c>
      <c r="AX24">
        <v>-1</v>
      </c>
      <c r="AY24">
        <v>0</v>
      </c>
      <c r="AZ24">
        <v>0</v>
      </c>
      <c r="BA24" t="s">
        <v>6</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CV24">
        <v>0</v>
      </c>
      <c r="CW24">
        <v>0</v>
      </c>
      <c r="CX24">
        <f>ROUND(Y24*Source!I34,9)</f>
        <v>0.36581160000000001</v>
      </c>
      <c r="CY24">
        <f>AA24</f>
        <v>40330</v>
      </c>
      <c r="CZ24">
        <f>AE24</f>
        <v>5577.3899999999994</v>
      </c>
      <c r="DA24">
        <f>AI24</f>
        <v>7.56</v>
      </c>
      <c r="DB24">
        <f t="shared" si="1"/>
        <v>73.62</v>
      </c>
      <c r="DC24">
        <f t="shared" si="2"/>
        <v>0</v>
      </c>
      <c r="DD24" t="s">
        <v>6</v>
      </c>
      <c r="DE24" t="s">
        <v>6</v>
      </c>
      <c r="DF24">
        <f>ROUND(ROUND(AE24*AI24,0)*CX24,0)</f>
        <v>15424</v>
      </c>
      <c r="DG24">
        <f t="shared" si="7"/>
        <v>0</v>
      </c>
      <c r="DH24">
        <f>Source!I34*SmtRes!Y24</f>
        <v>0.36581160000000001</v>
      </c>
      <c r="DI24">
        <f>AA24</f>
        <v>40330</v>
      </c>
      <c r="DJ24">
        <f>DF24</f>
        <v>15424</v>
      </c>
      <c r="DK24">
        <f>Source!BC34</f>
        <v>7.56</v>
      </c>
      <c r="DL24" t="s">
        <v>6</v>
      </c>
      <c r="DM24">
        <v>0</v>
      </c>
      <c r="DN24" t="s">
        <v>6</v>
      </c>
      <c r="DO24">
        <v>0</v>
      </c>
      <c r="GP24">
        <v>1</v>
      </c>
      <c r="GQ24">
        <v>-1</v>
      </c>
      <c r="GR24">
        <v>-1</v>
      </c>
    </row>
    <row r="25" spans="1:200" x14ac:dyDescent="0.2">
      <c r="A25">
        <f>ROW(Source!A39)</f>
        <v>39</v>
      </c>
      <c r="B25">
        <v>74242616</v>
      </c>
      <c r="C25">
        <v>74242751</v>
      </c>
      <c r="D25">
        <v>5510968</v>
      </c>
      <c r="E25">
        <v>1</v>
      </c>
      <c r="F25">
        <v>1</v>
      </c>
      <c r="G25">
        <v>1</v>
      </c>
      <c r="H25">
        <v>1</v>
      </c>
      <c r="I25" t="s">
        <v>261</v>
      </c>
      <c r="J25" t="s">
        <v>6</v>
      </c>
      <c r="K25" t="s">
        <v>262</v>
      </c>
      <c r="L25">
        <v>1369</v>
      </c>
      <c r="N25">
        <v>1013</v>
      </c>
      <c r="O25" t="s">
        <v>249</v>
      </c>
      <c r="P25" t="s">
        <v>249</v>
      </c>
      <c r="Q25">
        <v>1</v>
      </c>
      <c r="W25">
        <v>0</v>
      </c>
      <c r="X25">
        <v>-1305892198</v>
      </c>
      <c r="Y25">
        <f t="shared" si="0"/>
        <v>13.08</v>
      </c>
      <c r="AA25">
        <v>0</v>
      </c>
      <c r="AB25">
        <v>0</v>
      </c>
      <c r="AC25">
        <v>0</v>
      </c>
      <c r="AD25">
        <v>9.7100000000000009</v>
      </c>
      <c r="AE25">
        <v>0</v>
      </c>
      <c r="AF25">
        <v>0</v>
      </c>
      <c r="AG25">
        <v>0</v>
      </c>
      <c r="AH25">
        <v>9.7100000000000009</v>
      </c>
      <c r="AI25">
        <v>1</v>
      </c>
      <c r="AJ25">
        <v>1</v>
      </c>
      <c r="AK25">
        <v>1</v>
      </c>
      <c r="AL25">
        <v>1</v>
      </c>
      <c r="AM25">
        <v>0</v>
      </c>
      <c r="AN25">
        <v>0</v>
      </c>
      <c r="AO25">
        <v>1</v>
      </c>
      <c r="AP25">
        <v>0</v>
      </c>
      <c r="AQ25">
        <v>0</v>
      </c>
      <c r="AR25">
        <v>0</v>
      </c>
      <c r="AS25" t="s">
        <v>6</v>
      </c>
      <c r="AT25">
        <v>13.08</v>
      </c>
      <c r="AU25" t="s">
        <v>6</v>
      </c>
      <c r="AV25">
        <v>1</v>
      </c>
      <c r="AW25">
        <v>2</v>
      </c>
      <c r="AX25">
        <v>74242761</v>
      </c>
      <c r="AY25">
        <v>1</v>
      </c>
      <c r="AZ25">
        <v>0</v>
      </c>
      <c r="BA25">
        <v>25</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CU25">
        <f>ROUND(AT25*Source!I39*AH25*AL25,0)</f>
        <v>3745</v>
      </c>
      <c r="CV25">
        <f>ROUND(Y25*Source!I39,9)</f>
        <v>385.63763999999998</v>
      </c>
      <c r="CW25">
        <v>0</v>
      </c>
      <c r="CX25">
        <f>ROUND(Y25*Source!I39,9)</f>
        <v>385.63763999999998</v>
      </c>
      <c r="CY25">
        <f>AD25</f>
        <v>9.7100000000000009</v>
      </c>
      <c r="CZ25">
        <f>AH25</f>
        <v>9.7100000000000009</v>
      </c>
      <c r="DA25">
        <f>AL25</f>
        <v>1</v>
      </c>
      <c r="DB25">
        <f t="shared" si="1"/>
        <v>127.01</v>
      </c>
      <c r="DC25">
        <f t="shared" si="2"/>
        <v>0</v>
      </c>
      <c r="DD25" t="s">
        <v>6</v>
      </c>
      <c r="DE25" t="s">
        <v>6</v>
      </c>
      <c r="DF25">
        <f t="shared" ref="DF25:DF38" si="8">ROUND(ROUND(AE25,0)*CX25,0)</f>
        <v>0</v>
      </c>
      <c r="DG25">
        <f t="shared" si="7"/>
        <v>0</v>
      </c>
      <c r="DH25">
        <f>Source!I39*SmtRes!Y25</f>
        <v>385.63764000000003</v>
      </c>
      <c r="DI25">
        <f>AD25</f>
        <v>9.7100000000000009</v>
      </c>
      <c r="DJ25">
        <f>EtalonRes!AB25</f>
        <v>9.7100000000000009</v>
      </c>
      <c r="DK25">
        <f>Source!BA39</f>
        <v>1</v>
      </c>
      <c r="DL25" t="s">
        <v>6</v>
      </c>
      <c r="DM25">
        <v>0</v>
      </c>
      <c r="DN25" t="s">
        <v>6</v>
      </c>
      <c r="DO25">
        <v>0</v>
      </c>
      <c r="GQ25">
        <v>-1</v>
      </c>
      <c r="GR25">
        <v>-1</v>
      </c>
    </row>
    <row r="26" spans="1:200" x14ac:dyDescent="0.2">
      <c r="A26">
        <f>ROW(Source!A39)</f>
        <v>39</v>
      </c>
      <c r="B26">
        <v>74242616</v>
      </c>
      <c r="C26">
        <v>74242751</v>
      </c>
      <c r="D26">
        <v>121548</v>
      </c>
      <c r="E26">
        <v>1</v>
      </c>
      <c r="F26">
        <v>1</v>
      </c>
      <c r="G26">
        <v>1</v>
      </c>
      <c r="H26">
        <v>1</v>
      </c>
      <c r="I26" t="s">
        <v>40</v>
      </c>
      <c r="J26" t="s">
        <v>6</v>
      </c>
      <c r="K26" t="s">
        <v>250</v>
      </c>
      <c r="L26">
        <v>608254</v>
      </c>
      <c r="N26">
        <v>1013</v>
      </c>
      <c r="O26" t="s">
        <v>251</v>
      </c>
      <c r="P26" t="s">
        <v>251</v>
      </c>
      <c r="Q26">
        <v>1</v>
      </c>
      <c r="W26">
        <v>0</v>
      </c>
      <c r="X26">
        <v>-185737400</v>
      </c>
      <c r="Y26">
        <f t="shared" si="0"/>
        <v>0.08</v>
      </c>
      <c r="AA26">
        <v>0</v>
      </c>
      <c r="AB26">
        <v>0</v>
      </c>
      <c r="AC26">
        <v>0</v>
      </c>
      <c r="AD26">
        <v>0</v>
      </c>
      <c r="AE26">
        <v>0</v>
      </c>
      <c r="AF26">
        <v>0</v>
      </c>
      <c r="AG26">
        <v>0</v>
      </c>
      <c r="AH26">
        <v>0</v>
      </c>
      <c r="AI26">
        <v>1</v>
      </c>
      <c r="AJ26">
        <v>1</v>
      </c>
      <c r="AK26">
        <v>1</v>
      </c>
      <c r="AL26">
        <v>1</v>
      </c>
      <c r="AM26">
        <v>0</v>
      </c>
      <c r="AN26">
        <v>0</v>
      </c>
      <c r="AO26">
        <v>1</v>
      </c>
      <c r="AP26">
        <v>0</v>
      </c>
      <c r="AQ26">
        <v>0</v>
      </c>
      <c r="AR26">
        <v>0</v>
      </c>
      <c r="AS26" t="s">
        <v>6</v>
      </c>
      <c r="AT26">
        <v>0.08</v>
      </c>
      <c r="AU26" t="s">
        <v>6</v>
      </c>
      <c r="AV26">
        <v>2</v>
      </c>
      <c r="AW26">
        <v>2</v>
      </c>
      <c r="AX26">
        <v>74242762</v>
      </c>
      <c r="AY26">
        <v>1</v>
      </c>
      <c r="AZ26">
        <v>0</v>
      </c>
      <c r="BA26">
        <v>26</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CV26">
        <v>0</v>
      </c>
      <c r="CW26">
        <v>0</v>
      </c>
      <c r="CX26">
        <f>ROUND(Y26*Source!I39,9)</f>
        <v>2.3586399999999998</v>
      </c>
      <c r="CY26">
        <f>AD26</f>
        <v>0</v>
      </c>
      <c r="CZ26">
        <f>AH26</f>
        <v>0</v>
      </c>
      <c r="DA26">
        <f>AL26</f>
        <v>1</v>
      </c>
      <c r="DB26">
        <f t="shared" si="1"/>
        <v>0</v>
      </c>
      <c r="DC26">
        <f t="shared" si="2"/>
        <v>0</v>
      </c>
      <c r="DD26" t="s">
        <v>6</v>
      </c>
      <c r="DE26" t="s">
        <v>6</v>
      </c>
      <c r="DF26">
        <f t="shared" si="8"/>
        <v>0</v>
      </c>
      <c r="DG26">
        <f t="shared" si="7"/>
        <v>0</v>
      </c>
      <c r="DH26">
        <f>Source!I39*SmtRes!Y26</f>
        <v>2.3586400000000003</v>
      </c>
      <c r="DI26">
        <f>AD26</f>
        <v>0</v>
      </c>
      <c r="DJ26">
        <f>EtalonRes!AB26</f>
        <v>0</v>
      </c>
      <c r="DK26">
        <f>Source!BA39</f>
        <v>1</v>
      </c>
      <c r="DL26" t="s">
        <v>6</v>
      </c>
      <c r="DM26">
        <v>0</v>
      </c>
      <c r="DN26" t="s">
        <v>6</v>
      </c>
      <c r="DO26">
        <v>0</v>
      </c>
      <c r="GQ26">
        <v>-1</v>
      </c>
      <c r="GR26">
        <v>-1</v>
      </c>
    </row>
    <row r="27" spans="1:200" x14ac:dyDescent="0.2">
      <c r="A27">
        <f>ROW(Source!A39)</f>
        <v>39</v>
      </c>
      <c r="B27">
        <v>74242616</v>
      </c>
      <c r="C27">
        <v>74242751</v>
      </c>
      <c r="D27">
        <v>10844859</v>
      </c>
      <c r="E27">
        <v>1</v>
      </c>
      <c r="F27">
        <v>1</v>
      </c>
      <c r="G27">
        <v>1</v>
      </c>
      <c r="H27">
        <v>2</v>
      </c>
      <c r="I27" t="s">
        <v>263</v>
      </c>
      <c r="J27" t="s">
        <v>264</v>
      </c>
      <c r="K27" t="s">
        <v>265</v>
      </c>
      <c r="L27">
        <v>1480</v>
      </c>
      <c r="N27">
        <v>1013</v>
      </c>
      <c r="O27" t="s">
        <v>266</v>
      </c>
      <c r="P27" t="s">
        <v>267</v>
      </c>
      <c r="Q27">
        <v>1</v>
      </c>
      <c r="W27">
        <v>0</v>
      </c>
      <c r="X27">
        <v>1241890182</v>
      </c>
      <c r="Y27">
        <f t="shared" si="0"/>
        <v>0.02</v>
      </c>
      <c r="AA27">
        <v>0</v>
      </c>
      <c r="AB27">
        <v>55.14</v>
      </c>
      <c r="AC27">
        <v>13.02</v>
      </c>
      <c r="AD27">
        <v>0</v>
      </c>
      <c r="AE27">
        <v>0</v>
      </c>
      <c r="AF27">
        <v>55.14</v>
      </c>
      <c r="AG27">
        <v>13.02</v>
      </c>
      <c r="AH27">
        <v>0</v>
      </c>
      <c r="AI27">
        <v>1</v>
      </c>
      <c r="AJ27">
        <v>1</v>
      </c>
      <c r="AK27">
        <v>1</v>
      </c>
      <c r="AL27">
        <v>1</v>
      </c>
      <c r="AM27">
        <v>0</v>
      </c>
      <c r="AN27">
        <v>0</v>
      </c>
      <c r="AO27">
        <v>1</v>
      </c>
      <c r="AP27">
        <v>0</v>
      </c>
      <c r="AQ27">
        <v>0</v>
      </c>
      <c r="AR27">
        <v>0</v>
      </c>
      <c r="AS27" t="s">
        <v>6</v>
      </c>
      <c r="AT27">
        <v>0.02</v>
      </c>
      <c r="AU27" t="s">
        <v>6</v>
      </c>
      <c r="AV27">
        <v>0</v>
      </c>
      <c r="AW27">
        <v>2</v>
      </c>
      <c r="AX27">
        <v>74242763</v>
      </c>
      <c r="AY27">
        <v>1</v>
      </c>
      <c r="AZ27">
        <v>0</v>
      </c>
      <c r="BA27">
        <v>27</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CV27">
        <v>0</v>
      </c>
      <c r="CW27">
        <f>ROUND(Y27*Source!I39*DO27,9)</f>
        <v>0</v>
      </c>
      <c r="CX27">
        <f>ROUND(Y27*Source!I39,9)</f>
        <v>0.58965999999999996</v>
      </c>
      <c r="CY27">
        <f>AB27</f>
        <v>55.14</v>
      </c>
      <c r="CZ27">
        <f>AF27</f>
        <v>55.14</v>
      </c>
      <c r="DA27">
        <f>AJ27</f>
        <v>1</v>
      </c>
      <c r="DB27">
        <f t="shared" si="1"/>
        <v>1.1000000000000001</v>
      </c>
      <c r="DC27">
        <f t="shared" si="2"/>
        <v>0.26</v>
      </c>
      <c r="DD27" t="s">
        <v>6</v>
      </c>
      <c r="DE27" t="s">
        <v>6</v>
      </c>
      <c r="DF27">
        <f t="shared" si="8"/>
        <v>0</v>
      </c>
      <c r="DG27">
        <f t="shared" si="7"/>
        <v>32</v>
      </c>
      <c r="DH27">
        <f>Source!I39*SmtRes!Y27</f>
        <v>0.58966000000000007</v>
      </c>
      <c r="DI27">
        <f>AB27</f>
        <v>55.14</v>
      </c>
      <c r="DJ27">
        <f>EtalonRes!Z27</f>
        <v>55.14</v>
      </c>
      <c r="DK27">
        <f>Source!BB39</f>
        <v>1</v>
      </c>
      <c r="DL27" t="s">
        <v>6</v>
      </c>
      <c r="DM27">
        <v>0</v>
      </c>
      <c r="DN27" t="s">
        <v>6</v>
      </c>
      <c r="DO27">
        <v>0</v>
      </c>
      <c r="GQ27">
        <v>-1</v>
      </c>
      <c r="GR27">
        <v>-1</v>
      </c>
    </row>
    <row r="28" spans="1:200" x14ac:dyDescent="0.2">
      <c r="A28">
        <f>ROW(Source!A39)</f>
        <v>39</v>
      </c>
      <c r="B28">
        <v>74242616</v>
      </c>
      <c r="C28">
        <v>74242751</v>
      </c>
      <c r="D28">
        <v>35898338</v>
      </c>
      <c r="E28">
        <v>1</v>
      </c>
      <c r="F28">
        <v>1</v>
      </c>
      <c r="G28">
        <v>1</v>
      </c>
      <c r="H28">
        <v>2</v>
      </c>
      <c r="I28" t="s">
        <v>268</v>
      </c>
      <c r="J28" t="s">
        <v>269</v>
      </c>
      <c r="K28" t="s">
        <v>270</v>
      </c>
      <c r="L28">
        <v>1480</v>
      </c>
      <c r="N28">
        <v>1013</v>
      </c>
      <c r="O28" t="s">
        <v>266</v>
      </c>
      <c r="P28" t="s">
        <v>267</v>
      </c>
      <c r="Q28">
        <v>1</v>
      </c>
      <c r="W28">
        <v>0</v>
      </c>
      <c r="X28">
        <v>-2101324190</v>
      </c>
      <c r="Y28">
        <f t="shared" si="0"/>
        <v>0.61</v>
      </c>
      <c r="AA28">
        <v>0</v>
      </c>
      <c r="AB28">
        <v>2.0699999999999998</v>
      </c>
      <c r="AC28">
        <v>0</v>
      </c>
      <c r="AD28">
        <v>0</v>
      </c>
      <c r="AE28">
        <v>0</v>
      </c>
      <c r="AF28">
        <v>2.0699999999999998</v>
      </c>
      <c r="AG28">
        <v>0</v>
      </c>
      <c r="AH28">
        <v>0</v>
      </c>
      <c r="AI28">
        <v>1</v>
      </c>
      <c r="AJ28">
        <v>1</v>
      </c>
      <c r="AK28">
        <v>1</v>
      </c>
      <c r="AL28">
        <v>1</v>
      </c>
      <c r="AM28">
        <v>0</v>
      </c>
      <c r="AN28">
        <v>0</v>
      </c>
      <c r="AO28">
        <v>1</v>
      </c>
      <c r="AP28">
        <v>0</v>
      </c>
      <c r="AQ28">
        <v>0</v>
      </c>
      <c r="AR28">
        <v>0</v>
      </c>
      <c r="AS28" t="s">
        <v>6</v>
      </c>
      <c r="AT28">
        <v>0.61</v>
      </c>
      <c r="AU28" t="s">
        <v>6</v>
      </c>
      <c r="AV28">
        <v>0</v>
      </c>
      <c r="AW28">
        <v>2</v>
      </c>
      <c r="AX28">
        <v>74242764</v>
      </c>
      <c r="AY28">
        <v>1</v>
      </c>
      <c r="AZ28">
        <v>0</v>
      </c>
      <c r="BA28">
        <v>28</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CV28">
        <v>0</v>
      </c>
      <c r="CW28">
        <f>ROUND(Y28*Source!I39*DO28,9)</f>
        <v>0</v>
      </c>
      <c r="CX28">
        <f>ROUND(Y28*Source!I39,9)</f>
        <v>17.984629999999999</v>
      </c>
      <c r="CY28">
        <f>AB28</f>
        <v>2.0699999999999998</v>
      </c>
      <c r="CZ28">
        <f>AF28</f>
        <v>2.0699999999999998</v>
      </c>
      <c r="DA28">
        <f>AJ28</f>
        <v>1</v>
      </c>
      <c r="DB28">
        <f t="shared" si="1"/>
        <v>1.26</v>
      </c>
      <c r="DC28">
        <f t="shared" si="2"/>
        <v>0</v>
      </c>
      <c r="DD28" t="s">
        <v>6</v>
      </c>
      <c r="DE28" t="s">
        <v>6</v>
      </c>
      <c r="DF28">
        <f t="shared" si="8"/>
        <v>0</v>
      </c>
      <c r="DG28">
        <f t="shared" si="7"/>
        <v>36</v>
      </c>
      <c r="DH28">
        <f>Source!I39*SmtRes!Y28</f>
        <v>17.984629999999999</v>
      </c>
      <c r="DI28">
        <f>AB28</f>
        <v>2.0699999999999998</v>
      </c>
      <c r="DJ28">
        <f>EtalonRes!Z28</f>
        <v>2.0699999999999998</v>
      </c>
      <c r="DK28">
        <f>Source!BB39</f>
        <v>1</v>
      </c>
      <c r="DL28" t="s">
        <v>6</v>
      </c>
      <c r="DM28">
        <v>0</v>
      </c>
      <c r="DN28" t="s">
        <v>6</v>
      </c>
      <c r="DO28">
        <v>0</v>
      </c>
      <c r="GQ28">
        <v>-1</v>
      </c>
      <c r="GR28">
        <v>-1</v>
      </c>
    </row>
    <row r="29" spans="1:200" x14ac:dyDescent="0.2">
      <c r="A29">
        <f>ROW(Source!A39)</f>
        <v>39</v>
      </c>
      <c r="B29">
        <v>74242616</v>
      </c>
      <c r="C29">
        <v>74242751</v>
      </c>
      <c r="D29">
        <v>10843192</v>
      </c>
      <c r="E29">
        <v>1</v>
      </c>
      <c r="F29">
        <v>1</v>
      </c>
      <c r="G29">
        <v>1</v>
      </c>
      <c r="H29">
        <v>2</v>
      </c>
      <c r="I29" t="s">
        <v>256</v>
      </c>
      <c r="J29" t="s">
        <v>271</v>
      </c>
      <c r="K29" t="s">
        <v>272</v>
      </c>
      <c r="L29">
        <v>1480</v>
      </c>
      <c r="N29">
        <v>1013</v>
      </c>
      <c r="O29" t="s">
        <v>266</v>
      </c>
      <c r="P29" t="s">
        <v>267</v>
      </c>
      <c r="Q29">
        <v>1</v>
      </c>
      <c r="W29">
        <v>0</v>
      </c>
      <c r="X29">
        <v>-1592911513</v>
      </c>
      <c r="Y29">
        <f t="shared" si="0"/>
        <v>0.06</v>
      </c>
      <c r="AA29">
        <v>0</v>
      </c>
      <c r="AB29">
        <v>85.94</v>
      </c>
      <c r="AC29">
        <v>0</v>
      </c>
      <c r="AD29">
        <v>0</v>
      </c>
      <c r="AE29">
        <v>0</v>
      </c>
      <c r="AF29">
        <v>85.94</v>
      </c>
      <c r="AG29">
        <v>0</v>
      </c>
      <c r="AH29">
        <v>0</v>
      </c>
      <c r="AI29">
        <v>1</v>
      </c>
      <c r="AJ29">
        <v>1</v>
      </c>
      <c r="AK29">
        <v>1</v>
      </c>
      <c r="AL29">
        <v>1</v>
      </c>
      <c r="AM29">
        <v>0</v>
      </c>
      <c r="AN29">
        <v>0</v>
      </c>
      <c r="AO29">
        <v>1</v>
      </c>
      <c r="AP29">
        <v>0</v>
      </c>
      <c r="AQ29">
        <v>0</v>
      </c>
      <c r="AR29">
        <v>0</v>
      </c>
      <c r="AS29" t="s">
        <v>6</v>
      </c>
      <c r="AT29">
        <v>0.06</v>
      </c>
      <c r="AU29" t="s">
        <v>6</v>
      </c>
      <c r="AV29">
        <v>0</v>
      </c>
      <c r="AW29">
        <v>2</v>
      </c>
      <c r="AX29">
        <v>74242765</v>
      </c>
      <c r="AY29">
        <v>1</v>
      </c>
      <c r="AZ29">
        <v>0</v>
      </c>
      <c r="BA29">
        <v>29</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CV29">
        <v>0</v>
      </c>
      <c r="CW29">
        <f>ROUND(Y29*Source!I39*DO29,9)</f>
        <v>0</v>
      </c>
      <c r="CX29">
        <f>ROUND(Y29*Source!I39,9)</f>
        <v>1.76898</v>
      </c>
      <c r="CY29">
        <f>AB29</f>
        <v>85.94</v>
      </c>
      <c r="CZ29">
        <f>AF29</f>
        <v>85.94</v>
      </c>
      <c r="DA29">
        <f>AJ29</f>
        <v>1</v>
      </c>
      <c r="DB29">
        <f t="shared" si="1"/>
        <v>5.16</v>
      </c>
      <c r="DC29">
        <f t="shared" si="2"/>
        <v>0</v>
      </c>
      <c r="DD29" t="s">
        <v>6</v>
      </c>
      <c r="DE29" t="s">
        <v>6</v>
      </c>
      <c r="DF29">
        <f t="shared" si="8"/>
        <v>0</v>
      </c>
      <c r="DG29">
        <f t="shared" si="7"/>
        <v>152</v>
      </c>
      <c r="DH29">
        <f>Source!I39*SmtRes!Y29</f>
        <v>1.76898</v>
      </c>
      <c r="DI29">
        <f>AB29</f>
        <v>85.94</v>
      </c>
      <c r="DJ29">
        <f>EtalonRes!Z29</f>
        <v>85.94</v>
      </c>
      <c r="DK29">
        <f>Source!BB39</f>
        <v>1</v>
      </c>
      <c r="DL29" t="s">
        <v>6</v>
      </c>
      <c r="DM29">
        <v>0</v>
      </c>
      <c r="DN29" t="s">
        <v>6</v>
      </c>
      <c r="DO29">
        <v>0</v>
      </c>
      <c r="GQ29">
        <v>-1</v>
      </c>
      <c r="GR29">
        <v>-1</v>
      </c>
    </row>
    <row r="30" spans="1:200" x14ac:dyDescent="0.2">
      <c r="A30">
        <f>ROW(Source!A39)</f>
        <v>39</v>
      </c>
      <c r="B30">
        <v>74242616</v>
      </c>
      <c r="C30">
        <v>74242751</v>
      </c>
      <c r="D30">
        <v>10841946</v>
      </c>
      <c r="E30">
        <v>1</v>
      </c>
      <c r="F30">
        <v>1</v>
      </c>
      <c r="G30">
        <v>1</v>
      </c>
      <c r="H30">
        <v>3</v>
      </c>
      <c r="I30" t="s">
        <v>61</v>
      </c>
      <c r="J30" t="s">
        <v>64</v>
      </c>
      <c r="K30" t="s">
        <v>62</v>
      </c>
      <c r="L30">
        <v>1327</v>
      </c>
      <c r="N30">
        <v>1005</v>
      </c>
      <c r="O30" t="s">
        <v>63</v>
      </c>
      <c r="P30" t="s">
        <v>63</v>
      </c>
      <c r="Q30">
        <v>1</v>
      </c>
      <c r="W30">
        <v>0</v>
      </c>
      <c r="X30">
        <v>-1540695423</v>
      </c>
      <c r="Y30">
        <f t="shared" si="0"/>
        <v>1.2E-2</v>
      </c>
      <c r="AA30">
        <v>57.14</v>
      </c>
      <c r="AB30">
        <v>0</v>
      </c>
      <c r="AC30">
        <v>0</v>
      </c>
      <c r="AD30">
        <v>0</v>
      </c>
      <c r="AE30">
        <v>57.14</v>
      </c>
      <c r="AF30">
        <v>0</v>
      </c>
      <c r="AG30">
        <v>0</v>
      </c>
      <c r="AH30">
        <v>0</v>
      </c>
      <c r="AI30">
        <v>1</v>
      </c>
      <c r="AJ30">
        <v>1</v>
      </c>
      <c r="AK30">
        <v>1</v>
      </c>
      <c r="AL30">
        <v>1</v>
      </c>
      <c r="AM30">
        <v>0</v>
      </c>
      <c r="AN30">
        <v>0</v>
      </c>
      <c r="AO30">
        <v>0</v>
      </c>
      <c r="AP30">
        <v>1</v>
      </c>
      <c r="AQ30">
        <v>0</v>
      </c>
      <c r="AR30">
        <v>0</v>
      </c>
      <c r="AS30" t="s">
        <v>6</v>
      </c>
      <c r="AT30">
        <v>1.2E-2</v>
      </c>
      <c r="AU30" t="s">
        <v>6</v>
      </c>
      <c r="AV30">
        <v>0</v>
      </c>
      <c r="AW30">
        <v>2</v>
      </c>
      <c r="AX30">
        <v>74242766</v>
      </c>
      <c r="AY30">
        <v>1</v>
      </c>
      <c r="AZ30">
        <v>0</v>
      </c>
      <c r="BA30">
        <v>30</v>
      </c>
      <c r="BB30">
        <v>3</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CV30">
        <v>0</v>
      </c>
      <c r="CW30">
        <v>0</v>
      </c>
      <c r="CX30">
        <f>ROUND(Y30*Source!I39,9)</f>
        <v>0.353796</v>
      </c>
      <c r="CY30">
        <f>AA30</f>
        <v>57.14</v>
      </c>
      <c r="CZ30">
        <f>AE30</f>
        <v>57.14</v>
      </c>
      <c r="DA30">
        <f>AI30</f>
        <v>1</v>
      </c>
      <c r="DB30">
        <f t="shared" si="1"/>
        <v>0.69</v>
      </c>
      <c r="DC30">
        <f t="shared" si="2"/>
        <v>0</v>
      </c>
      <c r="DD30" t="s">
        <v>6</v>
      </c>
      <c r="DE30" t="s">
        <v>6</v>
      </c>
      <c r="DF30">
        <f t="shared" si="8"/>
        <v>20</v>
      </c>
      <c r="DG30">
        <f t="shared" si="7"/>
        <v>0</v>
      </c>
      <c r="DH30">
        <f>Source!I39*SmtRes!Y30</f>
        <v>0.353796</v>
      </c>
      <c r="DI30">
        <f>AA30</f>
        <v>57.14</v>
      </c>
      <c r="DJ30">
        <f>EtalonRes!Y30</f>
        <v>57.14</v>
      </c>
      <c r="DK30">
        <f>Source!BC39</f>
        <v>1</v>
      </c>
      <c r="DL30" t="s">
        <v>6</v>
      </c>
      <c r="DM30">
        <v>0</v>
      </c>
      <c r="DN30" t="s">
        <v>6</v>
      </c>
      <c r="DO30">
        <v>0</v>
      </c>
      <c r="GP30">
        <v>1</v>
      </c>
      <c r="GQ30">
        <v>-1</v>
      </c>
      <c r="GR30">
        <v>-1</v>
      </c>
    </row>
    <row r="31" spans="1:200" x14ac:dyDescent="0.2">
      <c r="A31">
        <f>ROW(Source!A39)</f>
        <v>39</v>
      </c>
      <c r="B31">
        <v>74242616</v>
      </c>
      <c r="C31">
        <v>74242751</v>
      </c>
      <c r="D31">
        <v>35898278</v>
      </c>
      <c r="E31">
        <v>1</v>
      </c>
      <c r="F31">
        <v>1</v>
      </c>
      <c r="G31">
        <v>1</v>
      </c>
      <c r="H31">
        <v>3</v>
      </c>
      <c r="I31" t="s">
        <v>67</v>
      </c>
      <c r="J31" t="s">
        <v>69</v>
      </c>
      <c r="K31" t="s">
        <v>68</v>
      </c>
      <c r="L31">
        <v>1348</v>
      </c>
      <c r="N31">
        <v>1009</v>
      </c>
      <c r="O31" t="s">
        <v>44</v>
      </c>
      <c r="P31" t="s">
        <v>44</v>
      </c>
      <c r="Q31">
        <v>1000</v>
      </c>
      <c r="W31">
        <v>0</v>
      </c>
      <c r="X31">
        <v>286163957</v>
      </c>
      <c r="Y31">
        <f t="shared" si="0"/>
        <v>5.2999999999999999E-2</v>
      </c>
      <c r="AA31">
        <v>4319.75</v>
      </c>
      <c r="AB31">
        <v>0</v>
      </c>
      <c r="AC31">
        <v>0</v>
      </c>
      <c r="AD31">
        <v>0</v>
      </c>
      <c r="AE31">
        <v>4319.75</v>
      </c>
      <c r="AF31">
        <v>0</v>
      </c>
      <c r="AG31">
        <v>0</v>
      </c>
      <c r="AH31">
        <v>0</v>
      </c>
      <c r="AI31">
        <v>1</v>
      </c>
      <c r="AJ31">
        <v>1</v>
      </c>
      <c r="AK31">
        <v>1</v>
      </c>
      <c r="AL31">
        <v>1</v>
      </c>
      <c r="AM31">
        <v>0</v>
      </c>
      <c r="AN31">
        <v>0</v>
      </c>
      <c r="AO31">
        <v>0</v>
      </c>
      <c r="AP31">
        <v>1</v>
      </c>
      <c r="AQ31">
        <v>0</v>
      </c>
      <c r="AR31">
        <v>0</v>
      </c>
      <c r="AS31" t="s">
        <v>6</v>
      </c>
      <c r="AT31">
        <v>5.2999999999999999E-2</v>
      </c>
      <c r="AU31" t="s">
        <v>6</v>
      </c>
      <c r="AV31">
        <v>0</v>
      </c>
      <c r="AW31">
        <v>2</v>
      </c>
      <c r="AX31">
        <v>74242767</v>
      </c>
      <c r="AY31">
        <v>1</v>
      </c>
      <c r="AZ31">
        <v>0</v>
      </c>
      <c r="BA31">
        <v>31</v>
      </c>
      <c r="BB31">
        <v>3</v>
      </c>
      <c r="BC31">
        <v>0</v>
      </c>
      <c r="BD31">
        <v>0</v>
      </c>
      <c r="BE31">
        <v>0</v>
      </c>
      <c r="BF31">
        <v>0</v>
      </c>
      <c r="BG31">
        <v>0</v>
      </c>
      <c r="BH31">
        <v>0</v>
      </c>
      <c r="BI31">
        <v>0</v>
      </c>
      <c r="BJ31">
        <v>0</v>
      </c>
      <c r="BK31">
        <v>0</v>
      </c>
      <c r="BL31">
        <v>0</v>
      </c>
      <c r="BM31">
        <v>0</v>
      </c>
      <c r="BN31">
        <v>0</v>
      </c>
      <c r="BO31">
        <v>0</v>
      </c>
      <c r="BP31">
        <v>0</v>
      </c>
      <c r="BQ31">
        <v>0</v>
      </c>
      <c r="BR31">
        <v>0</v>
      </c>
      <c r="BS31">
        <v>0</v>
      </c>
      <c r="BT31">
        <v>0</v>
      </c>
      <c r="BU31">
        <v>0</v>
      </c>
      <c r="BV31">
        <v>0</v>
      </c>
      <c r="BW31">
        <v>0</v>
      </c>
      <c r="CV31">
        <v>0</v>
      </c>
      <c r="CW31">
        <v>0</v>
      </c>
      <c r="CX31">
        <f>ROUND(Y31*Source!I39,9)</f>
        <v>1.5625990000000001</v>
      </c>
      <c r="CY31">
        <f>AA31</f>
        <v>4319.75</v>
      </c>
      <c r="CZ31">
        <f>AE31</f>
        <v>4319.75</v>
      </c>
      <c r="DA31">
        <f>AI31</f>
        <v>1</v>
      </c>
      <c r="DB31">
        <f t="shared" si="1"/>
        <v>228.95</v>
      </c>
      <c r="DC31">
        <f t="shared" si="2"/>
        <v>0</v>
      </c>
      <c r="DD31" t="s">
        <v>6</v>
      </c>
      <c r="DE31" t="s">
        <v>6</v>
      </c>
      <c r="DF31">
        <f t="shared" si="8"/>
        <v>6750</v>
      </c>
      <c r="DG31">
        <f t="shared" si="7"/>
        <v>0</v>
      </c>
      <c r="DH31">
        <f>Source!I39*SmtRes!Y31</f>
        <v>1.5625990000000001</v>
      </c>
      <c r="DI31">
        <f>AA31</f>
        <v>4319.75</v>
      </c>
      <c r="DJ31">
        <f>EtalonRes!Y31</f>
        <v>4319.75</v>
      </c>
      <c r="DK31">
        <f>Source!BC39</f>
        <v>1</v>
      </c>
      <c r="DL31" t="s">
        <v>6</v>
      </c>
      <c r="DM31">
        <v>0</v>
      </c>
      <c r="DN31" t="s">
        <v>6</v>
      </c>
      <c r="DO31">
        <v>0</v>
      </c>
      <c r="GP31">
        <v>1</v>
      </c>
      <c r="GQ31">
        <v>-1</v>
      </c>
      <c r="GR31">
        <v>-1</v>
      </c>
    </row>
    <row r="32" spans="1:200" x14ac:dyDescent="0.2">
      <c r="A32">
        <f>ROW(Source!A39)</f>
        <v>39</v>
      </c>
      <c r="B32">
        <v>74242616</v>
      </c>
      <c r="C32">
        <v>74242751</v>
      </c>
      <c r="D32">
        <v>27371543</v>
      </c>
      <c r="E32">
        <v>1</v>
      </c>
      <c r="F32">
        <v>1</v>
      </c>
      <c r="G32">
        <v>1</v>
      </c>
      <c r="H32">
        <v>3</v>
      </c>
      <c r="I32" t="s">
        <v>31</v>
      </c>
      <c r="J32" t="s">
        <v>34</v>
      </c>
      <c r="K32" t="s">
        <v>32</v>
      </c>
      <c r="L32">
        <v>1346</v>
      </c>
      <c r="N32">
        <v>1009</v>
      </c>
      <c r="O32" t="s">
        <v>33</v>
      </c>
      <c r="P32" t="s">
        <v>33</v>
      </c>
      <c r="Q32">
        <v>1</v>
      </c>
      <c r="W32">
        <v>0</v>
      </c>
      <c r="X32">
        <v>-386994921</v>
      </c>
      <c r="Y32">
        <f t="shared" si="0"/>
        <v>0.15</v>
      </c>
      <c r="AA32">
        <v>1.82</v>
      </c>
      <c r="AB32">
        <v>0</v>
      </c>
      <c r="AC32">
        <v>0</v>
      </c>
      <c r="AD32">
        <v>0</v>
      </c>
      <c r="AE32">
        <v>1.82</v>
      </c>
      <c r="AF32">
        <v>0</v>
      </c>
      <c r="AG32">
        <v>0</v>
      </c>
      <c r="AH32">
        <v>0</v>
      </c>
      <c r="AI32">
        <v>1</v>
      </c>
      <c r="AJ32">
        <v>1</v>
      </c>
      <c r="AK32">
        <v>1</v>
      </c>
      <c r="AL32">
        <v>1</v>
      </c>
      <c r="AM32">
        <v>0</v>
      </c>
      <c r="AN32">
        <v>0</v>
      </c>
      <c r="AO32">
        <v>0</v>
      </c>
      <c r="AP32">
        <v>1</v>
      </c>
      <c r="AQ32">
        <v>0</v>
      </c>
      <c r="AR32">
        <v>0</v>
      </c>
      <c r="AS32" t="s">
        <v>6</v>
      </c>
      <c r="AT32">
        <v>0.15</v>
      </c>
      <c r="AU32" t="s">
        <v>6</v>
      </c>
      <c r="AV32">
        <v>0</v>
      </c>
      <c r="AW32">
        <v>2</v>
      </c>
      <c r="AX32">
        <v>74242768</v>
      </c>
      <c r="AY32">
        <v>2</v>
      </c>
      <c r="AZ32">
        <v>16384</v>
      </c>
      <c r="BA32">
        <v>32</v>
      </c>
      <c r="BB32">
        <v>3</v>
      </c>
      <c r="BC32">
        <v>0</v>
      </c>
      <c r="BD32">
        <v>0</v>
      </c>
      <c r="BE32">
        <v>0</v>
      </c>
      <c r="BF32">
        <v>0</v>
      </c>
      <c r="BG32">
        <v>0</v>
      </c>
      <c r="BH32">
        <v>0</v>
      </c>
      <c r="BI32">
        <v>0</v>
      </c>
      <c r="BJ32">
        <v>0</v>
      </c>
      <c r="BK32">
        <v>0</v>
      </c>
      <c r="BL32">
        <v>0</v>
      </c>
      <c r="BM32">
        <v>0</v>
      </c>
      <c r="BN32">
        <v>0</v>
      </c>
      <c r="BO32">
        <v>0</v>
      </c>
      <c r="BP32">
        <v>0</v>
      </c>
      <c r="BQ32">
        <v>0</v>
      </c>
      <c r="BR32">
        <v>0</v>
      </c>
      <c r="BS32">
        <v>0</v>
      </c>
      <c r="BT32">
        <v>0</v>
      </c>
      <c r="BU32">
        <v>0</v>
      </c>
      <c r="BV32">
        <v>0</v>
      </c>
      <c r="BW32">
        <v>0</v>
      </c>
      <c r="CV32">
        <v>0</v>
      </c>
      <c r="CW32">
        <v>0</v>
      </c>
      <c r="CX32">
        <f>ROUND(Y32*Source!I39,9)</f>
        <v>4.4224500000000004</v>
      </c>
      <c r="CY32">
        <f>AA32</f>
        <v>1.82</v>
      </c>
      <c r="CZ32">
        <f>AE32</f>
        <v>1.82</v>
      </c>
      <c r="DA32">
        <f>AI32</f>
        <v>1</v>
      </c>
      <c r="DB32">
        <f t="shared" si="1"/>
        <v>0.27</v>
      </c>
      <c r="DC32">
        <f t="shared" si="2"/>
        <v>0</v>
      </c>
      <c r="DD32" t="s">
        <v>6</v>
      </c>
      <c r="DE32" t="s">
        <v>6</v>
      </c>
      <c r="DF32">
        <f t="shared" si="8"/>
        <v>9</v>
      </c>
      <c r="DG32">
        <f t="shared" si="7"/>
        <v>0</v>
      </c>
      <c r="DH32">
        <f>Source!I39*SmtRes!Y32</f>
        <v>4.4224499999999995</v>
      </c>
      <c r="DI32">
        <f>AA32</f>
        <v>1.82</v>
      </c>
      <c r="DJ32">
        <f>EtalonRes!Y32</f>
        <v>3.19</v>
      </c>
      <c r="DK32">
        <f>Source!BC39</f>
        <v>1</v>
      </c>
      <c r="DL32" t="s">
        <v>6</v>
      </c>
      <c r="DM32">
        <v>0</v>
      </c>
      <c r="DN32" t="s">
        <v>6</v>
      </c>
      <c r="DO32">
        <v>0</v>
      </c>
      <c r="GP32">
        <v>1</v>
      </c>
      <c r="GQ32">
        <v>-1</v>
      </c>
      <c r="GR32">
        <v>-1</v>
      </c>
    </row>
    <row r="33" spans="1:200" x14ac:dyDescent="0.2">
      <c r="A33">
        <f>ROW(Source!A39)</f>
        <v>39</v>
      </c>
      <c r="B33">
        <v>74242616</v>
      </c>
      <c r="C33">
        <v>74242751</v>
      </c>
      <c r="D33">
        <v>10825323</v>
      </c>
      <c r="E33">
        <v>1</v>
      </c>
      <c r="F33">
        <v>1</v>
      </c>
      <c r="G33">
        <v>1</v>
      </c>
      <c r="H33">
        <v>3</v>
      </c>
      <c r="I33" t="s">
        <v>73</v>
      </c>
      <c r="J33" t="s">
        <v>76</v>
      </c>
      <c r="K33" t="s">
        <v>74</v>
      </c>
      <c r="L33">
        <v>1339</v>
      </c>
      <c r="N33">
        <v>1007</v>
      </c>
      <c r="O33" t="s">
        <v>75</v>
      </c>
      <c r="P33" t="s">
        <v>75</v>
      </c>
      <c r="Q33">
        <v>1</v>
      </c>
      <c r="W33">
        <v>0</v>
      </c>
      <c r="X33">
        <v>1444665788</v>
      </c>
      <c r="Y33">
        <f t="shared" ref="Y33:Y64" si="9">AT33</f>
        <v>2.46E-2</v>
      </c>
      <c r="AA33">
        <v>7.14</v>
      </c>
      <c r="AB33">
        <v>0</v>
      </c>
      <c r="AC33">
        <v>0</v>
      </c>
      <c r="AD33">
        <v>0</v>
      </c>
      <c r="AE33">
        <v>7.14</v>
      </c>
      <c r="AF33">
        <v>0</v>
      </c>
      <c r="AG33">
        <v>0</v>
      </c>
      <c r="AH33">
        <v>0</v>
      </c>
      <c r="AI33">
        <v>1</v>
      </c>
      <c r="AJ33">
        <v>1</v>
      </c>
      <c r="AK33">
        <v>1</v>
      </c>
      <c r="AL33">
        <v>1</v>
      </c>
      <c r="AM33">
        <v>0</v>
      </c>
      <c r="AN33">
        <v>0</v>
      </c>
      <c r="AO33">
        <v>0</v>
      </c>
      <c r="AP33">
        <v>1</v>
      </c>
      <c r="AQ33">
        <v>0</v>
      </c>
      <c r="AR33">
        <v>0</v>
      </c>
      <c r="AS33" t="s">
        <v>6</v>
      </c>
      <c r="AT33">
        <v>2.46E-2</v>
      </c>
      <c r="AU33" t="s">
        <v>6</v>
      </c>
      <c r="AV33">
        <v>0</v>
      </c>
      <c r="AW33">
        <v>2</v>
      </c>
      <c r="AX33">
        <v>74242769</v>
      </c>
      <c r="AY33">
        <v>1</v>
      </c>
      <c r="AZ33">
        <v>0</v>
      </c>
      <c r="BA33">
        <v>33</v>
      </c>
      <c r="BB33">
        <v>3</v>
      </c>
      <c r="BC33">
        <v>0</v>
      </c>
      <c r="BD33">
        <v>0</v>
      </c>
      <c r="BE33">
        <v>0</v>
      </c>
      <c r="BF33">
        <v>0</v>
      </c>
      <c r="BG33">
        <v>0</v>
      </c>
      <c r="BH33">
        <v>0</v>
      </c>
      <c r="BI33">
        <v>0</v>
      </c>
      <c r="BJ33">
        <v>0</v>
      </c>
      <c r="BK33">
        <v>0</v>
      </c>
      <c r="BL33">
        <v>0</v>
      </c>
      <c r="BM33">
        <v>0</v>
      </c>
      <c r="BN33">
        <v>0</v>
      </c>
      <c r="BO33">
        <v>0</v>
      </c>
      <c r="BP33">
        <v>0</v>
      </c>
      <c r="BQ33">
        <v>0</v>
      </c>
      <c r="BR33">
        <v>0</v>
      </c>
      <c r="BS33">
        <v>0</v>
      </c>
      <c r="BT33">
        <v>0</v>
      </c>
      <c r="BU33">
        <v>0</v>
      </c>
      <c r="BV33">
        <v>0</v>
      </c>
      <c r="BW33">
        <v>0</v>
      </c>
      <c r="CV33">
        <v>0</v>
      </c>
      <c r="CW33">
        <v>0</v>
      </c>
      <c r="CX33">
        <f>ROUND(Y33*Source!I39,9)</f>
        <v>0.72528179999999998</v>
      </c>
      <c r="CY33">
        <f>AA33</f>
        <v>7.14</v>
      </c>
      <c r="CZ33">
        <f>AE33</f>
        <v>7.14</v>
      </c>
      <c r="DA33">
        <f>AI33</f>
        <v>1</v>
      </c>
      <c r="DB33">
        <f t="shared" ref="DB33:DB64" si="10">ROUND(ROUND(AT33*CZ33,2),2)</f>
        <v>0.18</v>
      </c>
      <c r="DC33">
        <f t="shared" ref="DC33:DC64" si="11">ROUND(ROUND(AT33*AG33,2),2)</f>
        <v>0</v>
      </c>
      <c r="DD33" t="s">
        <v>6</v>
      </c>
      <c r="DE33" t="s">
        <v>6</v>
      </c>
      <c r="DF33">
        <f t="shared" si="8"/>
        <v>5</v>
      </c>
      <c r="DG33">
        <f t="shared" si="7"/>
        <v>0</v>
      </c>
      <c r="DH33">
        <f>Source!I39*SmtRes!Y33</f>
        <v>0.72528179999999998</v>
      </c>
      <c r="DI33">
        <f>AA33</f>
        <v>7.14</v>
      </c>
      <c r="DJ33">
        <f>EtalonRes!Y33</f>
        <v>7.14</v>
      </c>
      <c r="DK33">
        <f>Source!BC39</f>
        <v>1</v>
      </c>
      <c r="DL33" t="s">
        <v>6</v>
      </c>
      <c r="DM33">
        <v>0</v>
      </c>
      <c r="DN33" t="s">
        <v>6</v>
      </c>
      <c r="DO33">
        <v>0</v>
      </c>
      <c r="GP33">
        <v>1</v>
      </c>
      <c r="GQ33">
        <v>-1</v>
      </c>
      <c r="GR33">
        <v>-1</v>
      </c>
    </row>
    <row r="34" spans="1:200" x14ac:dyDescent="0.2">
      <c r="A34">
        <f>ROW(Source!A40)</f>
        <v>40</v>
      </c>
      <c r="B34">
        <v>74242617</v>
      </c>
      <c r="C34">
        <v>74242751</v>
      </c>
      <c r="D34">
        <v>5510968</v>
      </c>
      <c r="E34">
        <v>1</v>
      </c>
      <c r="F34">
        <v>1</v>
      </c>
      <c r="G34">
        <v>1</v>
      </c>
      <c r="H34">
        <v>1</v>
      </c>
      <c r="I34" t="s">
        <v>261</v>
      </c>
      <c r="J34" t="s">
        <v>6</v>
      </c>
      <c r="K34" t="s">
        <v>262</v>
      </c>
      <c r="L34">
        <v>1369</v>
      </c>
      <c r="N34">
        <v>1013</v>
      </c>
      <c r="O34" t="s">
        <v>249</v>
      </c>
      <c r="P34" t="s">
        <v>249</v>
      </c>
      <c r="Q34">
        <v>1</v>
      </c>
      <c r="W34">
        <v>0</v>
      </c>
      <c r="X34">
        <v>-1305892198</v>
      </c>
      <c r="Y34">
        <f t="shared" si="9"/>
        <v>13.08</v>
      </c>
      <c r="AA34">
        <v>0</v>
      </c>
      <c r="AB34">
        <v>0</v>
      </c>
      <c r="AC34">
        <v>0</v>
      </c>
      <c r="AD34">
        <v>335.97</v>
      </c>
      <c r="AE34">
        <v>0</v>
      </c>
      <c r="AF34">
        <v>0</v>
      </c>
      <c r="AG34">
        <v>0</v>
      </c>
      <c r="AH34">
        <v>9.7100000000000009</v>
      </c>
      <c r="AI34">
        <v>1</v>
      </c>
      <c r="AJ34">
        <v>1</v>
      </c>
      <c r="AK34">
        <v>1</v>
      </c>
      <c r="AL34">
        <v>34.6</v>
      </c>
      <c r="AM34">
        <v>5</v>
      </c>
      <c r="AN34">
        <v>0</v>
      </c>
      <c r="AO34">
        <v>1</v>
      </c>
      <c r="AP34">
        <v>0</v>
      </c>
      <c r="AQ34">
        <v>0</v>
      </c>
      <c r="AR34">
        <v>0</v>
      </c>
      <c r="AS34" t="s">
        <v>6</v>
      </c>
      <c r="AT34">
        <v>13.08</v>
      </c>
      <c r="AU34" t="s">
        <v>6</v>
      </c>
      <c r="AV34">
        <v>1</v>
      </c>
      <c r="AW34">
        <v>2</v>
      </c>
      <c r="AX34">
        <v>74242761</v>
      </c>
      <c r="AY34">
        <v>1</v>
      </c>
      <c r="AZ34">
        <v>0</v>
      </c>
      <c r="BA34">
        <v>34</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CU34">
        <f>ROUND(AT34*Source!I40*AH34*AL34,0)</f>
        <v>129561</v>
      </c>
      <c r="CV34">
        <f>ROUND(Y34*Source!I40,9)</f>
        <v>385.63763999999998</v>
      </c>
      <c r="CW34">
        <v>0</v>
      </c>
      <c r="CX34">
        <f>ROUND(Y34*Source!I40,9)</f>
        <v>385.63763999999998</v>
      </c>
      <c r="CY34">
        <f>AD34</f>
        <v>335.97</v>
      </c>
      <c r="CZ34">
        <f>AH34</f>
        <v>9.7100000000000009</v>
      </c>
      <c r="DA34">
        <f>AL34</f>
        <v>34.6</v>
      </c>
      <c r="DB34">
        <f t="shared" si="10"/>
        <v>127.01</v>
      </c>
      <c r="DC34">
        <f t="shared" si="11"/>
        <v>0</v>
      </c>
      <c r="DD34" t="s">
        <v>6</v>
      </c>
      <c r="DE34" t="s">
        <v>6</v>
      </c>
      <c r="DF34">
        <f t="shared" si="8"/>
        <v>0</v>
      </c>
      <c r="DG34">
        <f t="shared" si="7"/>
        <v>0</v>
      </c>
      <c r="DH34">
        <f>Source!I40*SmtRes!Y34</f>
        <v>385.63764000000003</v>
      </c>
      <c r="DI34">
        <f>AD34</f>
        <v>335.97</v>
      </c>
      <c r="DJ34">
        <f>EtalonRes!AB34</f>
        <v>9.7100000000000009</v>
      </c>
      <c r="DK34">
        <f>Source!BA40</f>
        <v>34.6</v>
      </c>
      <c r="DL34" t="s">
        <v>6</v>
      </c>
      <c r="DM34">
        <v>0</v>
      </c>
      <c r="DN34" t="s">
        <v>6</v>
      </c>
      <c r="DO34">
        <v>0</v>
      </c>
      <c r="GQ34">
        <v>-1</v>
      </c>
      <c r="GR34">
        <v>-1</v>
      </c>
    </row>
    <row r="35" spans="1:200" x14ac:dyDescent="0.2">
      <c r="A35">
        <f>ROW(Source!A40)</f>
        <v>40</v>
      </c>
      <c r="B35">
        <v>74242617</v>
      </c>
      <c r="C35">
        <v>74242751</v>
      </c>
      <c r="D35">
        <v>121548</v>
      </c>
      <c r="E35">
        <v>1</v>
      </c>
      <c r="F35">
        <v>1</v>
      </c>
      <c r="G35">
        <v>1</v>
      </c>
      <c r="H35">
        <v>1</v>
      </c>
      <c r="I35" t="s">
        <v>40</v>
      </c>
      <c r="J35" t="s">
        <v>6</v>
      </c>
      <c r="K35" t="s">
        <v>250</v>
      </c>
      <c r="L35">
        <v>608254</v>
      </c>
      <c r="N35">
        <v>1013</v>
      </c>
      <c r="O35" t="s">
        <v>251</v>
      </c>
      <c r="P35" t="s">
        <v>251</v>
      </c>
      <c r="Q35">
        <v>1</v>
      </c>
      <c r="W35">
        <v>0</v>
      </c>
      <c r="X35">
        <v>-185737400</v>
      </c>
      <c r="Y35">
        <f t="shared" si="9"/>
        <v>0.08</v>
      </c>
      <c r="AA35">
        <v>0</v>
      </c>
      <c r="AB35">
        <v>0</v>
      </c>
      <c r="AC35">
        <v>0</v>
      </c>
      <c r="AD35">
        <v>0</v>
      </c>
      <c r="AE35">
        <v>0</v>
      </c>
      <c r="AF35">
        <v>0</v>
      </c>
      <c r="AG35">
        <v>0</v>
      </c>
      <c r="AH35">
        <v>0</v>
      </c>
      <c r="AI35">
        <v>1</v>
      </c>
      <c r="AJ35">
        <v>1</v>
      </c>
      <c r="AK35">
        <v>30.1</v>
      </c>
      <c r="AL35">
        <v>1</v>
      </c>
      <c r="AM35">
        <v>5</v>
      </c>
      <c r="AN35">
        <v>0</v>
      </c>
      <c r="AO35">
        <v>1</v>
      </c>
      <c r="AP35">
        <v>0</v>
      </c>
      <c r="AQ35">
        <v>0</v>
      </c>
      <c r="AR35">
        <v>0</v>
      </c>
      <c r="AS35" t="s">
        <v>6</v>
      </c>
      <c r="AT35">
        <v>0.08</v>
      </c>
      <c r="AU35" t="s">
        <v>6</v>
      </c>
      <c r="AV35">
        <v>2</v>
      </c>
      <c r="AW35">
        <v>2</v>
      </c>
      <c r="AX35">
        <v>74242762</v>
      </c>
      <c r="AY35">
        <v>1</v>
      </c>
      <c r="AZ35">
        <v>0</v>
      </c>
      <c r="BA35">
        <v>35</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CV35">
        <v>0</v>
      </c>
      <c r="CW35">
        <v>0</v>
      </c>
      <c r="CX35">
        <f>ROUND(Y35*Source!I40,9)</f>
        <v>2.3586399999999998</v>
      </c>
      <c r="CY35">
        <f>AD35</f>
        <v>0</v>
      </c>
      <c r="CZ35">
        <f>AH35</f>
        <v>0</v>
      </c>
      <c r="DA35">
        <f>AL35</f>
        <v>1</v>
      </c>
      <c r="DB35">
        <f t="shared" si="10"/>
        <v>0</v>
      </c>
      <c r="DC35">
        <f t="shared" si="11"/>
        <v>0</v>
      </c>
      <c r="DD35" t="s">
        <v>6</v>
      </c>
      <c r="DE35" t="s">
        <v>6</v>
      </c>
      <c r="DF35">
        <f t="shared" si="8"/>
        <v>0</v>
      </c>
      <c r="DG35">
        <f t="shared" si="7"/>
        <v>0</v>
      </c>
      <c r="DH35">
        <f>Source!I40*SmtRes!Y35</f>
        <v>2.3586400000000003</v>
      </c>
      <c r="DI35">
        <f>AD35</f>
        <v>0</v>
      </c>
      <c r="DJ35">
        <f>EtalonRes!AB35</f>
        <v>0</v>
      </c>
      <c r="DK35">
        <f>Source!BA40</f>
        <v>34.6</v>
      </c>
      <c r="DL35" t="s">
        <v>6</v>
      </c>
      <c r="DM35">
        <v>0</v>
      </c>
      <c r="DN35" t="s">
        <v>6</v>
      </c>
      <c r="DO35">
        <v>0</v>
      </c>
      <c r="GQ35">
        <v>-1</v>
      </c>
      <c r="GR35">
        <v>-1</v>
      </c>
    </row>
    <row r="36" spans="1:200" x14ac:dyDescent="0.2">
      <c r="A36">
        <f>ROW(Source!A40)</f>
        <v>40</v>
      </c>
      <c r="B36">
        <v>74242617</v>
      </c>
      <c r="C36">
        <v>74242751</v>
      </c>
      <c r="D36">
        <v>10844859</v>
      </c>
      <c r="E36">
        <v>1</v>
      </c>
      <c r="F36">
        <v>1</v>
      </c>
      <c r="G36">
        <v>1</v>
      </c>
      <c r="H36">
        <v>2</v>
      </c>
      <c r="I36" t="s">
        <v>263</v>
      </c>
      <c r="J36" t="s">
        <v>264</v>
      </c>
      <c r="K36" t="s">
        <v>265</v>
      </c>
      <c r="L36">
        <v>1480</v>
      </c>
      <c r="N36">
        <v>1013</v>
      </c>
      <c r="O36" t="s">
        <v>266</v>
      </c>
      <c r="P36" t="s">
        <v>267</v>
      </c>
      <c r="Q36">
        <v>1</v>
      </c>
      <c r="W36">
        <v>0</v>
      </c>
      <c r="X36">
        <v>1241890182</v>
      </c>
      <c r="Y36">
        <f t="shared" si="9"/>
        <v>0.02</v>
      </c>
      <c r="AA36">
        <v>0</v>
      </c>
      <c r="AB36">
        <v>704.14</v>
      </c>
      <c r="AC36">
        <v>391.9</v>
      </c>
      <c r="AD36">
        <v>0</v>
      </c>
      <c r="AE36">
        <v>0</v>
      </c>
      <c r="AF36">
        <v>55.14</v>
      </c>
      <c r="AG36">
        <v>13.02</v>
      </c>
      <c r="AH36">
        <v>0</v>
      </c>
      <c r="AI36">
        <v>1</v>
      </c>
      <c r="AJ36">
        <v>12.77</v>
      </c>
      <c r="AK36">
        <v>30.1</v>
      </c>
      <c r="AL36">
        <v>1</v>
      </c>
      <c r="AM36">
        <v>5</v>
      </c>
      <c r="AN36">
        <v>0</v>
      </c>
      <c r="AO36">
        <v>1</v>
      </c>
      <c r="AP36">
        <v>0</v>
      </c>
      <c r="AQ36">
        <v>0</v>
      </c>
      <c r="AR36">
        <v>0</v>
      </c>
      <c r="AS36" t="s">
        <v>6</v>
      </c>
      <c r="AT36">
        <v>0.02</v>
      </c>
      <c r="AU36" t="s">
        <v>6</v>
      </c>
      <c r="AV36">
        <v>0</v>
      </c>
      <c r="AW36">
        <v>2</v>
      </c>
      <c r="AX36">
        <v>74242763</v>
      </c>
      <c r="AY36">
        <v>1</v>
      </c>
      <c r="AZ36">
        <v>0</v>
      </c>
      <c r="BA36">
        <v>36</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CV36">
        <v>0</v>
      </c>
      <c r="CW36">
        <f>ROUND(Y36*Source!I40*DO36,9)</f>
        <v>0</v>
      </c>
      <c r="CX36">
        <f>ROUND(Y36*Source!I40,9)</f>
        <v>0.58965999999999996</v>
      </c>
      <c r="CY36">
        <f>AB36</f>
        <v>704.14</v>
      </c>
      <c r="CZ36">
        <f>AF36</f>
        <v>55.14</v>
      </c>
      <c r="DA36">
        <f>AJ36</f>
        <v>12.77</v>
      </c>
      <c r="DB36">
        <f t="shared" si="10"/>
        <v>1.1000000000000001</v>
      </c>
      <c r="DC36">
        <f t="shared" si="11"/>
        <v>0.26</v>
      </c>
      <c r="DD36" t="s">
        <v>6</v>
      </c>
      <c r="DE36" t="s">
        <v>6</v>
      </c>
      <c r="DF36">
        <f t="shared" si="8"/>
        <v>0</v>
      </c>
      <c r="DG36">
        <f>ROUND(ROUND(AF36*AJ36,0)*CX36,0)</f>
        <v>415</v>
      </c>
      <c r="DH36">
        <f>Source!I40*SmtRes!Y36</f>
        <v>0.58966000000000007</v>
      </c>
      <c r="DI36">
        <f>AB36</f>
        <v>704.14</v>
      </c>
      <c r="DJ36">
        <f>EtalonRes!Z36</f>
        <v>55.14</v>
      </c>
      <c r="DK36">
        <f>Source!BB40</f>
        <v>12.77</v>
      </c>
      <c r="DL36" t="s">
        <v>6</v>
      </c>
      <c r="DM36">
        <v>0</v>
      </c>
      <c r="DN36" t="s">
        <v>6</v>
      </c>
      <c r="DO36">
        <v>0</v>
      </c>
      <c r="GQ36">
        <v>-1</v>
      </c>
      <c r="GR36">
        <v>-1</v>
      </c>
    </row>
    <row r="37" spans="1:200" x14ac:dyDescent="0.2">
      <c r="A37">
        <f>ROW(Source!A40)</f>
        <v>40</v>
      </c>
      <c r="B37">
        <v>74242617</v>
      </c>
      <c r="C37">
        <v>74242751</v>
      </c>
      <c r="D37">
        <v>35898338</v>
      </c>
      <c r="E37">
        <v>1</v>
      </c>
      <c r="F37">
        <v>1</v>
      </c>
      <c r="G37">
        <v>1</v>
      </c>
      <c r="H37">
        <v>2</v>
      </c>
      <c r="I37" t="s">
        <v>268</v>
      </c>
      <c r="J37" t="s">
        <v>269</v>
      </c>
      <c r="K37" t="s">
        <v>270</v>
      </c>
      <c r="L37">
        <v>1480</v>
      </c>
      <c r="N37">
        <v>1013</v>
      </c>
      <c r="O37" t="s">
        <v>266</v>
      </c>
      <c r="P37" t="s">
        <v>267</v>
      </c>
      <c r="Q37">
        <v>1</v>
      </c>
      <c r="W37">
        <v>0</v>
      </c>
      <c r="X37">
        <v>-2101324190</v>
      </c>
      <c r="Y37">
        <f t="shared" si="9"/>
        <v>0.61</v>
      </c>
      <c r="AA37">
        <v>0</v>
      </c>
      <c r="AB37">
        <v>26.43</v>
      </c>
      <c r="AC37">
        <v>0</v>
      </c>
      <c r="AD37">
        <v>0</v>
      </c>
      <c r="AE37">
        <v>0</v>
      </c>
      <c r="AF37">
        <v>2.0699999999999998</v>
      </c>
      <c r="AG37">
        <v>0</v>
      </c>
      <c r="AH37">
        <v>0</v>
      </c>
      <c r="AI37">
        <v>1</v>
      </c>
      <c r="AJ37">
        <v>12.77</v>
      </c>
      <c r="AK37">
        <v>30.1</v>
      </c>
      <c r="AL37">
        <v>1</v>
      </c>
      <c r="AM37">
        <v>5</v>
      </c>
      <c r="AN37">
        <v>0</v>
      </c>
      <c r="AO37">
        <v>1</v>
      </c>
      <c r="AP37">
        <v>0</v>
      </c>
      <c r="AQ37">
        <v>0</v>
      </c>
      <c r="AR37">
        <v>0</v>
      </c>
      <c r="AS37" t="s">
        <v>6</v>
      </c>
      <c r="AT37">
        <v>0.61</v>
      </c>
      <c r="AU37" t="s">
        <v>6</v>
      </c>
      <c r="AV37">
        <v>0</v>
      </c>
      <c r="AW37">
        <v>2</v>
      </c>
      <c r="AX37">
        <v>74242764</v>
      </c>
      <c r="AY37">
        <v>1</v>
      </c>
      <c r="AZ37">
        <v>0</v>
      </c>
      <c r="BA37">
        <v>37</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CV37">
        <v>0</v>
      </c>
      <c r="CW37">
        <f>ROUND(Y37*Source!I40*DO37,9)</f>
        <v>0</v>
      </c>
      <c r="CX37">
        <f>ROUND(Y37*Source!I40,9)</f>
        <v>17.984629999999999</v>
      </c>
      <c r="CY37">
        <f>AB37</f>
        <v>26.43</v>
      </c>
      <c r="CZ37">
        <f>AF37</f>
        <v>2.0699999999999998</v>
      </c>
      <c r="DA37">
        <f>AJ37</f>
        <v>12.77</v>
      </c>
      <c r="DB37">
        <f t="shared" si="10"/>
        <v>1.26</v>
      </c>
      <c r="DC37">
        <f t="shared" si="11"/>
        <v>0</v>
      </c>
      <c r="DD37" t="s">
        <v>6</v>
      </c>
      <c r="DE37" t="s">
        <v>6</v>
      </c>
      <c r="DF37">
        <f t="shared" si="8"/>
        <v>0</v>
      </c>
      <c r="DG37">
        <f>ROUND(ROUND(AF37*AJ37,0)*CX37,0)</f>
        <v>468</v>
      </c>
      <c r="DH37">
        <f>Source!I40*SmtRes!Y37</f>
        <v>17.984629999999999</v>
      </c>
      <c r="DI37">
        <f>AB37</f>
        <v>26.43</v>
      </c>
      <c r="DJ37">
        <f>EtalonRes!Z37</f>
        <v>2.0699999999999998</v>
      </c>
      <c r="DK37">
        <f>Source!BB40</f>
        <v>12.77</v>
      </c>
      <c r="DL37" t="s">
        <v>6</v>
      </c>
      <c r="DM37">
        <v>0</v>
      </c>
      <c r="DN37" t="s">
        <v>6</v>
      </c>
      <c r="DO37">
        <v>0</v>
      </c>
      <c r="GQ37">
        <v>-1</v>
      </c>
      <c r="GR37">
        <v>-1</v>
      </c>
    </row>
    <row r="38" spans="1:200" x14ac:dyDescent="0.2">
      <c r="A38">
        <f>ROW(Source!A40)</f>
        <v>40</v>
      </c>
      <c r="B38">
        <v>74242617</v>
      </c>
      <c r="C38">
        <v>74242751</v>
      </c>
      <c r="D38">
        <v>10843192</v>
      </c>
      <c r="E38">
        <v>1</v>
      </c>
      <c r="F38">
        <v>1</v>
      </c>
      <c r="G38">
        <v>1</v>
      </c>
      <c r="H38">
        <v>2</v>
      </c>
      <c r="I38" t="s">
        <v>256</v>
      </c>
      <c r="J38" t="s">
        <v>271</v>
      </c>
      <c r="K38" t="s">
        <v>272</v>
      </c>
      <c r="L38">
        <v>1480</v>
      </c>
      <c r="N38">
        <v>1013</v>
      </c>
      <c r="O38" t="s">
        <v>266</v>
      </c>
      <c r="P38" t="s">
        <v>267</v>
      </c>
      <c r="Q38">
        <v>1</v>
      </c>
      <c r="W38">
        <v>0</v>
      </c>
      <c r="X38">
        <v>-1592911513</v>
      </c>
      <c r="Y38">
        <f t="shared" si="9"/>
        <v>0.06</v>
      </c>
      <c r="AA38">
        <v>0</v>
      </c>
      <c r="AB38">
        <v>1097.45</v>
      </c>
      <c r="AC38">
        <v>0</v>
      </c>
      <c r="AD38">
        <v>0</v>
      </c>
      <c r="AE38">
        <v>0</v>
      </c>
      <c r="AF38">
        <v>85.94</v>
      </c>
      <c r="AG38">
        <v>0</v>
      </c>
      <c r="AH38">
        <v>0</v>
      </c>
      <c r="AI38">
        <v>1</v>
      </c>
      <c r="AJ38">
        <v>12.77</v>
      </c>
      <c r="AK38">
        <v>30.1</v>
      </c>
      <c r="AL38">
        <v>1</v>
      </c>
      <c r="AM38">
        <v>5</v>
      </c>
      <c r="AN38">
        <v>0</v>
      </c>
      <c r="AO38">
        <v>1</v>
      </c>
      <c r="AP38">
        <v>0</v>
      </c>
      <c r="AQ38">
        <v>0</v>
      </c>
      <c r="AR38">
        <v>0</v>
      </c>
      <c r="AS38" t="s">
        <v>6</v>
      </c>
      <c r="AT38">
        <v>0.06</v>
      </c>
      <c r="AU38" t="s">
        <v>6</v>
      </c>
      <c r="AV38">
        <v>0</v>
      </c>
      <c r="AW38">
        <v>2</v>
      </c>
      <c r="AX38">
        <v>74242765</v>
      </c>
      <c r="AY38">
        <v>1</v>
      </c>
      <c r="AZ38">
        <v>0</v>
      </c>
      <c r="BA38">
        <v>38</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CV38">
        <v>0</v>
      </c>
      <c r="CW38">
        <f>ROUND(Y38*Source!I40*DO38,9)</f>
        <v>0</v>
      </c>
      <c r="CX38">
        <f>ROUND(Y38*Source!I40,9)</f>
        <v>1.76898</v>
      </c>
      <c r="CY38">
        <f>AB38</f>
        <v>1097.45</v>
      </c>
      <c r="CZ38">
        <f>AF38</f>
        <v>85.94</v>
      </c>
      <c r="DA38">
        <f>AJ38</f>
        <v>12.77</v>
      </c>
      <c r="DB38">
        <f t="shared" si="10"/>
        <v>5.16</v>
      </c>
      <c r="DC38">
        <f t="shared" si="11"/>
        <v>0</v>
      </c>
      <c r="DD38" t="s">
        <v>6</v>
      </c>
      <c r="DE38" t="s">
        <v>6</v>
      </c>
      <c r="DF38">
        <f t="shared" si="8"/>
        <v>0</v>
      </c>
      <c r="DG38">
        <f>ROUND(ROUND(AF38*AJ38,0)*CX38,0)</f>
        <v>1941</v>
      </c>
      <c r="DH38">
        <f>Source!I40*SmtRes!Y38</f>
        <v>1.76898</v>
      </c>
      <c r="DI38">
        <f>AB38</f>
        <v>1097.45</v>
      </c>
      <c r="DJ38">
        <f>EtalonRes!Z38</f>
        <v>85.94</v>
      </c>
      <c r="DK38">
        <f>Source!BB40</f>
        <v>12.77</v>
      </c>
      <c r="DL38" t="s">
        <v>6</v>
      </c>
      <c r="DM38">
        <v>0</v>
      </c>
      <c r="DN38" t="s">
        <v>6</v>
      </c>
      <c r="DO38">
        <v>0</v>
      </c>
      <c r="GQ38">
        <v>-1</v>
      </c>
      <c r="GR38">
        <v>-1</v>
      </c>
    </row>
    <row r="39" spans="1:200" x14ac:dyDescent="0.2">
      <c r="A39">
        <f>ROW(Source!A40)</f>
        <v>40</v>
      </c>
      <c r="B39">
        <v>74242617</v>
      </c>
      <c r="C39">
        <v>74242751</v>
      </c>
      <c r="D39">
        <v>10841946</v>
      </c>
      <c r="E39">
        <v>1</v>
      </c>
      <c r="F39">
        <v>1</v>
      </c>
      <c r="G39">
        <v>1</v>
      </c>
      <c r="H39">
        <v>3</v>
      </c>
      <c r="I39" t="s">
        <v>61</v>
      </c>
      <c r="J39" t="s">
        <v>64</v>
      </c>
      <c r="K39" t="s">
        <v>62</v>
      </c>
      <c r="L39">
        <v>1327</v>
      </c>
      <c r="N39">
        <v>1005</v>
      </c>
      <c r="O39" t="s">
        <v>63</v>
      </c>
      <c r="P39" t="s">
        <v>63</v>
      </c>
      <c r="Q39">
        <v>1</v>
      </c>
      <c r="W39">
        <v>0</v>
      </c>
      <c r="X39">
        <v>-1540695423</v>
      </c>
      <c r="Y39">
        <f t="shared" si="9"/>
        <v>1.2E-2</v>
      </c>
      <c r="AA39">
        <v>251.1</v>
      </c>
      <c r="AB39">
        <v>0</v>
      </c>
      <c r="AC39">
        <v>0</v>
      </c>
      <c r="AD39">
        <v>0</v>
      </c>
      <c r="AE39">
        <v>34.72</v>
      </c>
      <c r="AF39">
        <v>0</v>
      </c>
      <c r="AG39">
        <v>0</v>
      </c>
      <c r="AH39">
        <v>0</v>
      </c>
      <c r="AI39">
        <v>7.56</v>
      </c>
      <c r="AJ39">
        <v>1</v>
      </c>
      <c r="AK39">
        <v>1</v>
      </c>
      <c r="AL39">
        <v>1</v>
      </c>
      <c r="AM39">
        <v>0</v>
      </c>
      <c r="AN39">
        <v>0</v>
      </c>
      <c r="AO39">
        <v>0</v>
      </c>
      <c r="AP39">
        <v>1</v>
      </c>
      <c r="AQ39">
        <v>0</v>
      </c>
      <c r="AR39">
        <v>0</v>
      </c>
      <c r="AS39" t="s">
        <v>6</v>
      </c>
      <c r="AT39">
        <v>1.2E-2</v>
      </c>
      <c r="AU39" t="s">
        <v>6</v>
      </c>
      <c r="AV39">
        <v>0</v>
      </c>
      <c r="AW39">
        <v>2</v>
      </c>
      <c r="AX39">
        <v>74242766</v>
      </c>
      <c r="AY39">
        <v>1</v>
      </c>
      <c r="AZ39">
        <v>16384</v>
      </c>
      <c r="BA39">
        <v>39</v>
      </c>
      <c r="BB39">
        <v>3</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CV39">
        <v>0</v>
      </c>
      <c r="CW39">
        <v>0</v>
      </c>
      <c r="CX39">
        <f>ROUND(Y39*Source!I40,9)</f>
        <v>0.353796</v>
      </c>
      <c r="CY39">
        <f>AA39</f>
        <v>251.1</v>
      </c>
      <c r="CZ39">
        <f>AE39</f>
        <v>34.72</v>
      </c>
      <c r="DA39">
        <f>AI39</f>
        <v>7.56</v>
      </c>
      <c r="DB39">
        <f t="shared" si="10"/>
        <v>0.42</v>
      </c>
      <c r="DC39">
        <f t="shared" si="11"/>
        <v>0</v>
      </c>
      <c r="DD39" t="s">
        <v>6</v>
      </c>
      <c r="DE39" t="s">
        <v>6</v>
      </c>
      <c r="DF39">
        <f>ROUND(ROUND(AE39*AI39,0)*CX39,0)</f>
        <v>93</v>
      </c>
      <c r="DG39">
        <f t="shared" ref="DG39:DG53" si="12">ROUND(ROUND(AF39,0)*CX39,0)</f>
        <v>0</v>
      </c>
      <c r="DH39">
        <f>Source!I40*SmtRes!Y39</f>
        <v>0.353796</v>
      </c>
      <c r="DI39">
        <f>AA39</f>
        <v>251.1</v>
      </c>
      <c r="DJ39">
        <f>EtalonRes!Y39</f>
        <v>57.14</v>
      </c>
      <c r="DK39">
        <f>Source!BC40</f>
        <v>7.56</v>
      </c>
      <c r="DL39" t="s">
        <v>6</v>
      </c>
      <c r="DM39">
        <v>0</v>
      </c>
      <c r="DN39" t="s">
        <v>6</v>
      </c>
      <c r="DO39">
        <v>0</v>
      </c>
      <c r="GP39">
        <v>1</v>
      </c>
      <c r="GQ39">
        <v>-1</v>
      </c>
      <c r="GR39">
        <v>-1</v>
      </c>
    </row>
    <row r="40" spans="1:200" x14ac:dyDescent="0.2">
      <c r="A40">
        <f>ROW(Source!A40)</f>
        <v>40</v>
      </c>
      <c r="B40">
        <v>74242617</v>
      </c>
      <c r="C40">
        <v>74242751</v>
      </c>
      <c r="D40">
        <v>35898278</v>
      </c>
      <c r="E40">
        <v>1</v>
      </c>
      <c r="F40">
        <v>1</v>
      </c>
      <c r="G40">
        <v>1</v>
      </c>
      <c r="H40">
        <v>3</v>
      </c>
      <c r="I40" t="s">
        <v>67</v>
      </c>
      <c r="J40" t="s">
        <v>69</v>
      </c>
      <c r="K40" t="s">
        <v>68</v>
      </c>
      <c r="L40">
        <v>1348</v>
      </c>
      <c r="N40">
        <v>1009</v>
      </c>
      <c r="O40" t="s">
        <v>44</v>
      </c>
      <c r="P40" t="s">
        <v>44</v>
      </c>
      <c r="Q40">
        <v>1000</v>
      </c>
      <c r="W40">
        <v>0</v>
      </c>
      <c r="X40">
        <v>286163957</v>
      </c>
      <c r="Y40">
        <f t="shared" si="9"/>
        <v>5.2999999999999999E-2</v>
      </c>
      <c r="AA40">
        <v>15550</v>
      </c>
      <c r="AB40">
        <v>0</v>
      </c>
      <c r="AC40">
        <v>0</v>
      </c>
      <c r="AD40">
        <v>0</v>
      </c>
      <c r="AE40">
        <v>2150.4700000000003</v>
      </c>
      <c r="AF40">
        <v>0</v>
      </c>
      <c r="AG40">
        <v>0</v>
      </c>
      <c r="AH40">
        <v>0</v>
      </c>
      <c r="AI40">
        <v>7.56</v>
      </c>
      <c r="AJ40">
        <v>1</v>
      </c>
      <c r="AK40">
        <v>1</v>
      </c>
      <c r="AL40">
        <v>1</v>
      </c>
      <c r="AM40">
        <v>0</v>
      </c>
      <c r="AN40">
        <v>0</v>
      </c>
      <c r="AO40">
        <v>0</v>
      </c>
      <c r="AP40">
        <v>1</v>
      </c>
      <c r="AQ40">
        <v>0</v>
      </c>
      <c r="AR40">
        <v>0</v>
      </c>
      <c r="AS40" t="s">
        <v>6</v>
      </c>
      <c r="AT40">
        <v>5.2999999999999999E-2</v>
      </c>
      <c r="AU40" t="s">
        <v>6</v>
      </c>
      <c r="AV40">
        <v>0</v>
      </c>
      <c r="AW40">
        <v>2</v>
      </c>
      <c r="AX40">
        <v>74242767</v>
      </c>
      <c r="AY40">
        <v>1</v>
      </c>
      <c r="AZ40">
        <v>16384</v>
      </c>
      <c r="BA40">
        <v>40</v>
      </c>
      <c r="BB40">
        <v>3</v>
      </c>
      <c r="BC40">
        <v>0</v>
      </c>
      <c r="BD40">
        <v>0</v>
      </c>
      <c r="BE40">
        <v>0</v>
      </c>
      <c r="BF40">
        <v>0</v>
      </c>
      <c r="BG40">
        <v>0</v>
      </c>
      <c r="BH40">
        <v>0</v>
      </c>
      <c r="BI40">
        <v>0</v>
      </c>
      <c r="BJ40">
        <v>0</v>
      </c>
      <c r="BK40">
        <v>0</v>
      </c>
      <c r="BL40">
        <v>0</v>
      </c>
      <c r="BM40">
        <v>0</v>
      </c>
      <c r="BN40">
        <v>0</v>
      </c>
      <c r="BO40">
        <v>0</v>
      </c>
      <c r="BP40">
        <v>0</v>
      </c>
      <c r="BQ40">
        <v>0</v>
      </c>
      <c r="BR40">
        <v>0</v>
      </c>
      <c r="BS40">
        <v>0</v>
      </c>
      <c r="BT40">
        <v>0</v>
      </c>
      <c r="BU40">
        <v>0</v>
      </c>
      <c r="BV40">
        <v>0</v>
      </c>
      <c r="BW40">
        <v>0</v>
      </c>
      <c r="CV40">
        <v>0</v>
      </c>
      <c r="CW40">
        <v>0</v>
      </c>
      <c r="CX40">
        <f>ROUND(Y40*Source!I40,9)</f>
        <v>1.5625990000000001</v>
      </c>
      <c r="CY40">
        <f>AA40</f>
        <v>15550</v>
      </c>
      <c r="CZ40">
        <f>AE40</f>
        <v>2150.4700000000003</v>
      </c>
      <c r="DA40">
        <f>AI40</f>
        <v>7.56</v>
      </c>
      <c r="DB40">
        <f t="shared" si="10"/>
        <v>113.97</v>
      </c>
      <c r="DC40">
        <f t="shared" si="11"/>
        <v>0</v>
      </c>
      <c r="DD40" t="s">
        <v>6</v>
      </c>
      <c r="DE40" t="s">
        <v>6</v>
      </c>
      <c r="DF40">
        <f>ROUND(ROUND(AE40*AI40,0)*CX40,0)</f>
        <v>25405</v>
      </c>
      <c r="DG40">
        <f t="shared" si="12"/>
        <v>0</v>
      </c>
      <c r="DH40">
        <f>Source!I40*SmtRes!Y40</f>
        <v>1.5625990000000001</v>
      </c>
      <c r="DI40">
        <f>AA40</f>
        <v>15550</v>
      </c>
      <c r="DJ40">
        <f>EtalonRes!Y40</f>
        <v>4319.75</v>
      </c>
      <c r="DK40">
        <f>Source!BC40</f>
        <v>7.56</v>
      </c>
      <c r="DL40" t="s">
        <v>6</v>
      </c>
      <c r="DM40">
        <v>0</v>
      </c>
      <c r="DN40" t="s">
        <v>6</v>
      </c>
      <c r="DO40">
        <v>0</v>
      </c>
      <c r="GP40">
        <v>1</v>
      </c>
      <c r="GQ40">
        <v>-1</v>
      </c>
      <c r="GR40">
        <v>-1</v>
      </c>
    </row>
    <row r="41" spans="1:200" x14ac:dyDescent="0.2">
      <c r="A41">
        <f>ROW(Source!A40)</f>
        <v>40</v>
      </c>
      <c r="B41">
        <v>74242617</v>
      </c>
      <c r="C41">
        <v>74242751</v>
      </c>
      <c r="D41">
        <v>27371543</v>
      </c>
      <c r="E41">
        <v>1</v>
      </c>
      <c r="F41">
        <v>1</v>
      </c>
      <c r="G41">
        <v>1</v>
      </c>
      <c r="H41">
        <v>3</v>
      </c>
      <c r="I41" t="s">
        <v>31</v>
      </c>
      <c r="J41" t="s">
        <v>34</v>
      </c>
      <c r="K41" t="s">
        <v>32</v>
      </c>
      <c r="L41">
        <v>1346</v>
      </c>
      <c r="N41">
        <v>1009</v>
      </c>
      <c r="O41" t="s">
        <v>33</v>
      </c>
      <c r="P41" t="s">
        <v>33</v>
      </c>
      <c r="Q41">
        <v>1</v>
      </c>
      <c r="W41">
        <v>0</v>
      </c>
      <c r="X41">
        <v>-386994921</v>
      </c>
      <c r="Y41">
        <f t="shared" si="9"/>
        <v>0.15</v>
      </c>
      <c r="AA41">
        <v>31</v>
      </c>
      <c r="AB41">
        <v>0</v>
      </c>
      <c r="AC41">
        <v>0</v>
      </c>
      <c r="AD41">
        <v>0</v>
      </c>
      <c r="AE41">
        <v>4.2799999999999994</v>
      </c>
      <c r="AF41">
        <v>0</v>
      </c>
      <c r="AG41">
        <v>0</v>
      </c>
      <c r="AH41">
        <v>0</v>
      </c>
      <c r="AI41">
        <v>7.56</v>
      </c>
      <c r="AJ41">
        <v>1</v>
      </c>
      <c r="AK41">
        <v>1</v>
      </c>
      <c r="AL41">
        <v>1</v>
      </c>
      <c r="AM41">
        <v>0</v>
      </c>
      <c r="AN41">
        <v>0</v>
      </c>
      <c r="AO41">
        <v>0</v>
      </c>
      <c r="AP41">
        <v>1</v>
      </c>
      <c r="AQ41">
        <v>0</v>
      </c>
      <c r="AR41">
        <v>0</v>
      </c>
      <c r="AS41" t="s">
        <v>6</v>
      </c>
      <c r="AT41">
        <v>0.15</v>
      </c>
      <c r="AU41" t="s">
        <v>6</v>
      </c>
      <c r="AV41">
        <v>0</v>
      </c>
      <c r="AW41">
        <v>2</v>
      </c>
      <c r="AX41">
        <v>74242768</v>
      </c>
      <c r="AY41">
        <v>2</v>
      </c>
      <c r="AZ41">
        <v>16384</v>
      </c>
      <c r="BA41">
        <v>41</v>
      </c>
      <c r="BB41">
        <v>3</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CV41">
        <v>0</v>
      </c>
      <c r="CW41">
        <v>0</v>
      </c>
      <c r="CX41">
        <f>ROUND(Y41*Source!I40,9)</f>
        <v>4.4224500000000004</v>
      </c>
      <c r="CY41">
        <f>AA41</f>
        <v>31</v>
      </c>
      <c r="CZ41">
        <f>AE41</f>
        <v>4.2799999999999994</v>
      </c>
      <c r="DA41">
        <f>AI41</f>
        <v>7.56</v>
      </c>
      <c r="DB41">
        <f t="shared" si="10"/>
        <v>0.64</v>
      </c>
      <c r="DC41">
        <f t="shared" si="11"/>
        <v>0</v>
      </c>
      <c r="DD41" t="s">
        <v>6</v>
      </c>
      <c r="DE41" t="s">
        <v>6</v>
      </c>
      <c r="DF41">
        <f>ROUND(ROUND(AE41*AI41,0)*CX41,0)</f>
        <v>142</v>
      </c>
      <c r="DG41">
        <f t="shared" si="12"/>
        <v>0</v>
      </c>
      <c r="DH41">
        <f>Source!I40*SmtRes!Y41</f>
        <v>4.4224499999999995</v>
      </c>
      <c r="DI41">
        <f>AA41</f>
        <v>31</v>
      </c>
      <c r="DJ41">
        <f>EtalonRes!Y41</f>
        <v>3.19</v>
      </c>
      <c r="DK41">
        <f>Source!BC40</f>
        <v>7.56</v>
      </c>
      <c r="DL41" t="s">
        <v>6</v>
      </c>
      <c r="DM41">
        <v>0</v>
      </c>
      <c r="DN41" t="s">
        <v>6</v>
      </c>
      <c r="DO41">
        <v>0</v>
      </c>
      <c r="GP41">
        <v>1</v>
      </c>
      <c r="GQ41">
        <v>-1</v>
      </c>
      <c r="GR41">
        <v>-1</v>
      </c>
    </row>
    <row r="42" spans="1:200" x14ac:dyDescent="0.2">
      <c r="A42">
        <f>ROW(Source!A40)</f>
        <v>40</v>
      </c>
      <c r="B42">
        <v>74242617</v>
      </c>
      <c r="C42">
        <v>74242751</v>
      </c>
      <c r="D42">
        <v>10825323</v>
      </c>
      <c r="E42">
        <v>1</v>
      </c>
      <c r="F42">
        <v>1</v>
      </c>
      <c r="G42">
        <v>1</v>
      </c>
      <c r="H42">
        <v>3</v>
      </c>
      <c r="I42" t="s">
        <v>73</v>
      </c>
      <c r="J42" t="s">
        <v>76</v>
      </c>
      <c r="K42" t="s">
        <v>74</v>
      </c>
      <c r="L42">
        <v>1339</v>
      </c>
      <c r="N42">
        <v>1007</v>
      </c>
      <c r="O42" t="s">
        <v>75</v>
      </c>
      <c r="P42" t="s">
        <v>75</v>
      </c>
      <c r="Q42">
        <v>1</v>
      </c>
      <c r="W42">
        <v>0</v>
      </c>
      <c r="X42">
        <v>1444665788</v>
      </c>
      <c r="Y42">
        <f t="shared" si="9"/>
        <v>2.46E-2</v>
      </c>
      <c r="AA42">
        <v>14.19</v>
      </c>
      <c r="AB42">
        <v>0</v>
      </c>
      <c r="AC42">
        <v>0</v>
      </c>
      <c r="AD42">
        <v>0</v>
      </c>
      <c r="AE42">
        <v>1.97</v>
      </c>
      <c r="AF42">
        <v>0</v>
      </c>
      <c r="AG42">
        <v>0</v>
      </c>
      <c r="AH42">
        <v>0</v>
      </c>
      <c r="AI42">
        <v>7.56</v>
      </c>
      <c r="AJ42">
        <v>1</v>
      </c>
      <c r="AK42">
        <v>1</v>
      </c>
      <c r="AL42">
        <v>1</v>
      </c>
      <c r="AM42">
        <v>0</v>
      </c>
      <c r="AN42">
        <v>0</v>
      </c>
      <c r="AO42">
        <v>0</v>
      </c>
      <c r="AP42">
        <v>1</v>
      </c>
      <c r="AQ42">
        <v>0</v>
      </c>
      <c r="AR42">
        <v>0</v>
      </c>
      <c r="AS42" t="s">
        <v>6</v>
      </c>
      <c r="AT42">
        <v>2.46E-2</v>
      </c>
      <c r="AU42" t="s">
        <v>6</v>
      </c>
      <c r="AV42">
        <v>0</v>
      </c>
      <c r="AW42">
        <v>2</v>
      </c>
      <c r="AX42">
        <v>74242769</v>
      </c>
      <c r="AY42">
        <v>1</v>
      </c>
      <c r="AZ42">
        <v>16384</v>
      </c>
      <c r="BA42">
        <v>42</v>
      </c>
      <c r="BB42">
        <v>3</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CV42">
        <v>0</v>
      </c>
      <c r="CW42">
        <v>0</v>
      </c>
      <c r="CX42">
        <f>ROUND(Y42*Source!I40,9)</f>
        <v>0.72528179999999998</v>
      </c>
      <c r="CY42">
        <f>AA42</f>
        <v>14.19</v>
      </c>
      <c r="CZ42">
        <f>AE42</f>
        <v>1.97</v>
      </c>
      <c r="DA42">
        <f>AI42</f>
        <v>7.56</v>
      </c>
      <c r="DB42">
        <f t="shared" si="10"/>
        <v>0.05</v>
      </c>
      <c r="DC42">
        <f t="shared" si="11"/>
        <v>0</v>
      </c>
      <c r="DD42" t="s">
        <v>6</v>
      </c>
      <c r="DE42" t="s">
        <v>6</v>
      </c>
      <c r="DF42">
        <f>ROUND(ROUND(AE42*AI42,0)*CX42,0)</f>
        <v>11</v>
      </c>
      <c r="DG42">
        <f t="shared" si="12"/>
        <v>0</v>
      </c>
      <c r="DH42">
        <f>Source!I40*SmtRes!Y42</f>
        <v>0.72528179999999998</v>
      </c>
      <c r="DI42">
        <f>AA42</f>
        <v>14.19</v>
      </c>
      <c r="DJ42">
        <f>EtalonRes!Y42</f>
        <v>7.14</v>
      </c>
      <c r="DK42">
        <f>Source!BC40</f>
        <v>7.56</v>
      </c>
      <c r="DL42" t="s">
        <v>6</v>
      </c>
      <c r="DM42">
        <v>0</v>
      </c>
      <c r="DN42" t="s">
        <v>6</v>
      </c>
      <c r="DO42">
        <v>0</v>
      </c>
      <c r="GP42">
        <v>1</v>
      </c>
      <c r="GQ42">
        <v>-1</v>
      </c>
      <c r="GR42">
        <v>-1</v>
      </c>
    </row>
    <row r="43" spans="1:200" x14ac:dyDescent="0.2">
      <c r="A43">
        <f>ROW(Source!A49)</f>
        <v>49</v>
      </c>
      <c r="B43">
        <v>74242616</v>
      </c>
      <c r="C43">
        <v>74242774</v>
      </c>
      <c r="D43">
        <v>5510968</v>
      </c>
      <c r="E43">
        <v>1</v>
      </c>
      <c r="F43">
        <v>1</v>
      </c>
      <c r="G43">
        <v>1</v>
      </c>
      <c r="H43">
        <v>1</v>
      </c>
      <c r="I43" t="s">
        <v>261</v>
      </c>
      <c r="J43" t="s">
        <v>6</v>
      </c>
      <c r="K43" t="s">
        <v>262</v>
      </c>
      <c r="L43">
        <v>1369</v>
      </c>
      <c r="N43">
        <v>1013</v>
      </c>
      <c r="O43" t="s">
        <v>249</v>
      </c>
      <c r="P43" t="s">
        <v>249</v>
      </c>
      <c r="Q43">
        <v>1</v>
      </c>
      <c r="W43">
        <v>0</v>
      </c>
      <c r="X43">
        <v>-1305892198</v>
      </c>
      <c r="Y43">
        <f t="shared" si="9"/>
        <v>14.68</v>
      </c>
      <c r="AA43">
        <v>0</v>
      </c>
      <c r="AB43">
        <v>0</v>
      </c>
      <c r="AC43">
        <v>0</v>
      </c>
      <c r="AD43">
        <v>9.7100000000000009</v>
      </c>
      <c r="AE43">
        <v>0</v>
      </c>
      <c r="AF43">
        <v>0</v>
      </c>
      <c r="AG43">
        <v>0</v>
      </c>
      <c r="AH43">
        <v>9.7100000000000009</v>
      </c>
      <c r="AI43">
        <v>1</v>
      </c>
      <c r="AJ43">
        <v>1</v>
      </c>
      <c r="AK43">
        <v>1</v>
      </c>
      <c r="AL43">
        <v>1</v>
      </c>
      <c r="AM43">
        <v>0</v>
      </c>
      <c r="AN43">
        <v>0</v>
      </c>
      <c r="AO43">
        <v>1</v>
      </c>
      <c r="AP43">
        <v>0</v>
      </c>
      <c r="AQ43">
        <v>0</v>
      </c>
      <c r="AR43">
        <v>0</v>
      </c>
      <c r="AS43" t="s">
        <v>6</v>
      </c>
      <c r="AT43">
        <v>14.68</v>
      </c>
      <c r="AU43" t="s">
        <v>6</v>
      </c>
      <c r="AV43">
        <v>1</v>
      </c>
      <c r="AW43">
        <v>2</v>
      </c>
      <c r="AX43">
        <v>74242784</v>
      </c>
      <c r="AY43">
        <v>1</v>
      </c>
      <c r="AZ43">
        <v>0</v>
      </c>
      <c r="BA43">
        <v>43</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CU43">
        <f>ROUND(AT43*Source!I49*AH43*AL43,0)</f>
        <v>4203</v>
      </c>
      <c r="CV43">
        <f>ROUND(Y43*Source!I49,9)</f>
        <v>432.81044000000003</v>
      </c>
      <c r="CW43">
        <v>0</v>
      </c>
      <c r="CX43">
        <f>ROUND(Y43*Source!I49,9)</f>
        <v>432.81044000000003</v>
      </c>
      <c r="CY43">
        <f>AD43</f>
        <v>9.7100000000000009</v>
      </c>
      <c r="CZ43">
        <f>AH43</f>
        <v>9.7100000000000009</v>
      </c>
      <c r="DA43">
        <f>AL43</f>
        <v>1</v>
      </c>
      <c r="DB43">
        <f t="shared" si="10"/>
        <v>142.54</v>
      </c>
      <c r="DC43">
        <f t="shared" si="11"/>
        <v>0</v>
      </c>
      <c r="DD43" t="s">
        <v>6</v>
      </c>
      <c r="DE43" t="s">
        <v>6</v>
      </c>
      <c r="DF43">
        <f t="shared" ref="DF43:DF56" si="13">ROUND(ROUND(AE43,0)*CX43,0)</f>
        <v>0</v>
      </c>
      <c r="DG43">
        <f t="shared" si="12"/>
        <v>0</v>
      </c>
      <c r="DH43">
        <f>Source!I49*SmtRes!Y43</f>
        <v>432.81043999999997</v>
      </c>
      <c r="DI43">
        <f>AD43</f>
        <v>9.7100000000000009</v>
      </c>
      <c r="DJ43">
        <f>EtalonRes!AB43</f>
        <v>9.7100000000000009</v>
      </c>
      <c r="DK43">
        <f>Source!BA49</f>
        <v>1</v>
      </c>
      <c r="DL43" t="s">
        <v>6</v>
      </c>
      <c r="DM43">
        <v>0</v>
      </c>
      <c r="DN43" t="s">
        <v>6</v>
      </c>
      <c r="DO43">
        <v>0</v>
      </c>
      <c r="GQ43">
        <v>-1</v>
      </c>
      <c r="GR43">
        <v>-1</v>
      </c>
    </row>
    <row r="44" spans="1:200" x14ac:dyDescent="0.2">
      <c r="A44">
        <f>ROW(Source!A49)</f>
        <v>49</v>
      </c>
      <c r="B44">
        <v>74242616</v>
      </c>
      <c r="C44">
        <v>74242774</v>
      </c>
      <c r="D44">
        <v>121548</v>
      </c>
      <c r="E44">
        <v>1</v>
      </c>
      <c r="F44">
        <v>1</v>
      </c>
      <c r="G44">
        <v>1</v>
      </c>
      <c r="H44">
        <v>1</v>
      </c>
      <c r="I44" t="s">
        <v>40</v>
      </c>
      <c r="J44" t="s">
        <v>6</v>
      </c>
      <c r="K44" t="s">
        <v>250</v>
      </c>
      <c r="L44">
        <v>608254</v>
      </c>
      <c r="N44">
        <v>1013</v>
      </c>
      <c r="O44" t="s">
        <v>251</v>
      </c>
      <c r="P44" t="s">
        <v>251</v>
      </c>
      <c r="Q44">
        <v>1</v>
      </c>
      <c r="W44">
        <v>0</v>
      </c>
      <c r="X44">
        <v>-185737400</v>
      </c>
      <c r="Y44">
        <f t="shared" si="9"/>
        <v>0.08</v>
      </c>
      <c r="AA44">
        <v>0</v>
      </c>
      <c r="AB44">
        <v>0</v>
      </c>
      <c r="AC44">
        <v>0</v>
      </c>
      <c r="AD44">
        <v>0</v>
      </c>
      <c r="AE44">
        <v>0</v>
      </c>
      <c r="AF44">
        <v>0</v>
      </c>
      <c r="AG44">
        <v>0</v>
      </c>
      <c r="AH44">
        <v>0</v>
      </c>
      <c r="AI44">
        <v>1</v>
      </c>
      <c r="AJ44">
        <v>1</v>
      </c>
      <c r="AK44">
        <v>1</v>
      </c>
      <c r="AL44">
        <v>1</v>
      </c>
      <c r="AM44">
        <v>0</v>
      </c>
      <c r="AN44">
        <v>0</v>
      </c>
      <c r="AO44">
        <v>1</v>
      </c>
      <c r="AP44">
        <v>0</v>
      </c>
      <c r="AQ44">
        <v>0</v>
      </c>
      <c r="AR44">
        <v>0</v>
      </c>
      <c r="AS44" t="s">
        <v>6</v>
      </c>
      <c r="AT44">
        <v>0.08</v>
      </c>
      <c r="AU44" t="s">
        <v>6</v>
      </c>
      <c r="AV44">
        <v>2</v>
      </c>
      <c r="AW44">
        <v>2</v>
      </c>
      <c r="AX44">
        <v>74242785</v>
      </c>
      <c r="AY44">
        <v>1</v>
      </c>
      <c r="AZ44">
        <v>0</v>
      </c>
      <c r="BA44">
        <v>44</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CV44">
        <v>0</v>
      </c>
      <c r="CW44">
        <v>0</v>
      </c>
      <c r="CX44">
        <f>ROUND(Y44*Source!I49,9)</f>
        <v>2.3586399999999998</v>
      </c>
      <c r="CY44">
        <f>AD44</f>
        <v>0</v>
      </c>
      <c r="CZ44">
        <f>AH44</f>
        <v>0</v>
      </c>
      <c r="DA44">
        <f>AL44</f>
        <v>1</v>
      </c>
      <c r="DB44">
        <f t="shared" si="10"/>
        <v>0</v>
      </c>
      <c r="DC44">
        <f t="shared" si="11"/>
        <v>0</v>
      </c>
      <c r="DD44" t="s">
        <v>6</v>
      </c>
      <c r="DE44" t="s">
        <v>6</v>
      </c>
      <c r="DF44">
        <f t="shared" si="13"/>
        <v>0</v>
      </c>
      <c r="DG44">
        <f t="shared" si="12"/>
        <v>0</v>
      </c>
      <c r="DH44">
        <f>Source!I49*SmtRes!Y44</f>
        <v>2.3586400000000003</v>
      </c>
      <c r="DI44">
        <f>AD44</f>
        <v>0</v>
      </c>
      <c r="DJ44">
        <f>EtalonRes!AB44</f>
        <v>0</v>
      </c>
      <c r="DK44">
        <f>Source!BA49</f>
        <v>1</v>
      </c>
      <c r="DL44" t="s">
        <v>6</v>
      </c>
      <c r="DM44">
        <v>0</v>
      </c>
      <c r="DN44" t="s">
        <v>6</v>
      </c>
      <c r="DO44">
        <v>0</v>
      </c>
      <c r="GQ44">
        <v>-1</v>
      </c>
      <c r="GR44">
        <v>-1</v>
      </c>
    </row>
    <row r="45" spans="1:200" x14ac:dyDescent="0.2">
      <c r="A45">
        <f>ROW(Source!A49)</f>
        <v>49</v>
      </c>
      <c r="B45">
        <v>74242616</v>
      </c>
      <c r="C45">
        <v>74242774</v>
      </c>
      <c r="D45">
        <v>10844859</v>
      </c>
      <c r="E45">
        <v>1</v>
      </c>
      <c r="F45">
        <v>1</v>
      </c>
      <c r="G45">
        <v>1</v>
      </c>
      <c r="H45">
        <v>2</v>
      </c>
      <c r="I45" t="s">
        <v>263</v>
      </c>
      <c r="J45" t="s">
        <v>264</v>
      </c>
      <c r="K45" t="s">
        <v>265</v>
      </c>
      <c r="L45">
        <v>1480</v>
      </c>
      <c r="N45">
        <v>1013</v>
      </c>
      <c r="O45" t="s">
        <v>266</v>
      </c>
      <c r="P45" t="s">
        <v>267</v>
      </c>
      <c r="Q45">
        <v>1</v>
      </c>
      <c r="W45">
        <v>0</v>
      </c>
      <c r="X45">
        <v>1241890182</v>
      </c>
      <c r="Y45">
        <f t="shared" si="9"/>
        <v>0.02</v>
      </c>
      <c r="AA45">
        <v>0</v>
      </c>
      <c r="AB45">
        <v>55.14</v>
      </c>
      <c r="AC45">
        <v>13.02</v>
      </c>
      <c r="AD45">
        <v>0</v>
      </c>
      <c r="AE45">
        <v>0</v>
      </c>
      <c r="AF45">
        <v>55.14</v>
      </c>
      <c r="AG45">
        <v>13.02</v>
      </c>
      <c r="AH45">
        <v>0</v>
      </c>
      <c r="AI45">
        <v>1</v>
      </c>
      <c r="AJ45">
        <v>1</v>
      </c>
      <c r="AK45">
        <v>1</v>
      </c>
      <c r="AL45">
        <v>1</v>
      </c>
      <c r="AM45">
        <v>0</v>
      </c>
      <c r="AN45">
        <v>0</v>
      </c>
      <c r="AO45">
        <v>1</v>
      </c>
      <c r="AP45">
        <v>0</v>
      </c>
      <c r="AQ45">
        <v>0</v>
      </c>
      <c r="AR45">
        <v>0</v>
      </c>
      <c r="AS45" t="s">
        <v>6</v>
      </c>
      <c r="AT45">
        <v>0.02</v>
      </c>
      <c r="AU45" t="s">
        <v>6</v>
      </c>
      <c r="AV45">
        <v>0</v>
      </c>
      <c r="AW45">
        <v>2</v>
      </c>
      <c r="AX45">
        <v>74242786</v>
      </c>
      <c r="AY45">
        <v>1</v>
      </c>
      <c r="AZ45">
        <v>0</v>
      </c>
      <c r="BA45">
        <v>45</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v>
      </c>
      <c r="BV45">
        <v>0</v>
      </c>
      <c r="BW45">
        <v>0</v>
      </c>
      <c r="CV45">
        <v>0</v>
      </c>
      <c r="CW45">
        <f>ROUND(Y45*Source!I49*DO45,9)</f>
        <v>0</v>
      </c>
      <c r="CX45">
        <f>ROUND(Y45*Source!I49,9)</f>
        <v>0.58965999999999996</v>
      </c>
      <c r="CY45">
        <f>AB45</f>
        <v>55.14</v>
      </c>
      <c r="CZ45">
        <f>AF45</f>
        <v>55.14</v>
      </c>
      <c r="DA45">
        <f>AJ45</f>
        <v>1</v>
      </c>
      <c r="DB45">
        <f t="shared" si="10"/>
        <v>1.1000000000000001</v>
      </c>
      <c r="DC45">
        <f t="shared" si="11"/>
        <v>0.26</v>
      </c>
      <c r="DD45" t="s">
        <v>6</v>
      </c>
      <c r="DE45" t="s">
        <v>6</v>
      </c>
      <c r="DF45">
        <f t="shared" si="13"/>
        <v>0</v>
      </c>
      <c r="DG45">
        <f t="shared" si="12"/>
        <v>32</v>
      </c>
      <c r="DH45">
        <f>Source!I49*SmtRes!Y45</f>
        <v>0.58966000000000007</v>
      </c>
      <c r="DI45">
        <f>AB45</f>
        <v>55.14</v>
      </c>
      <c r="DJ45">
        <f>EtalonRes!Z45</f>
        <v>55.14</v>
      </c>
      <c r="DK45">
        <f>Source!BB49</f>
        <v>1</v>
      </c>
      <c r="DL45" t="s">
        <v>6</v>
      </c>
      <c r="DM45">
        <v>0</v>
      </c>
      <c r="DN45" t="s">
        <v>6</v>
      </c>
      <c r="DO45">
        <v>0</v>
      </c>
      <c r="GQ45">
        <v>-1</v>
      </c>
      <c r="GR45">
        <v>-1</v>
      </c>
    </row>
    <row r="46" spans="1:200" x14ac:dyDescent="0.2">
      <c r="A46">
        <f>ROW(Source!A49)</f>
        <v>49</v>
      </c>
      <c r="B46">
        <v>74242616</v>
      </c>
      <c r="C46">
        <v>74242774</v>
      </c>
      <c r="D46">
        <v>35898338</v>
      </c>
      <c r="E46">
        <v>1</v>
      </c>
      <c r="F46">
        <v>1</v>
      </c>
      <c r="G46">
        <v>1</v>
      </c>
      <c r="H46">
        <v>2</v>
      </c>
      <c r="I46" t="s">
        <v>268</v>
      </c>
      <c r="J46" t="s">
        <v>269</v>
      </c>
      <c r="K46" t="s">
        <v>270</v>
      </c>
      <c r="L46">
        <v>1480</v>
      </c>
      <c r="N46">
        <v>1013</v>
      </c>
      <c r="O46" t="s">
        <v>266</v>
      </c>
      <c r="P46" t="s">
        <v>267</v>
      </c>
      <c r="Q46">
        <v>1</v>
      </c>
      <c r="W46">
        <v>0</v>
      </c>
      <c r="X46">
        <v>-2101324190</v>
      </c>
      <c r="Y46">
        <f t="shared" si="9"/>
        <v>0.92</v>
      </c>
      <c r="AA46">
        <v>0</v>
      </c>
      <c r="AB46">
        <v>2.0699999999999998</v>
      </c>
      <c r="AC46">
        <v>0</v>
      </c>
      <c r="AD46">
        <v>0</v>
      </c>
      <c r="AE46">
        <v>0</v>
      </c>
      <c r="AF46">
        <v>2.0699999999999998</v>
      </c>
      <c r="AG46">
        <v>0</v>
      </c>
      <c r="AH46">
        <v>0</v>
      </c>
      <c r="AI46">
        <v>1</v>
      </c>
      <c r="AJ46">
        <v>1</v>
      </c>
      <c r="AK46">
        <v>1</v>
      </c>
      <c r="AL46">
        <v>1</v>
      </c>
      <c r="AM46">
        <v>0</v>
      </c>
      <c r="AN46">
        <v>0</v>
      </c>
      <c r="AO46">
        <v>1</v>
      </c>
      <c r="AP46">
        <v>0</v>
      </c>
      <c r="AQ46">
        <v>0</v>
      </c>
      <c r="AR46">
        <v>0</v>
      </c>
      <c r="AS46" t="s">
        <v>6</v>
      </c>
      <c r="AT46">
        <v>0.92</v>
      </c>
      <c r="AU46" t="s">
        <v>6</v>
      </c>
      <c r="AV46">
        <v>0</v>
      </c>
      <c r="AW46">
        <v>2</v>
      </c>
      <c r="AX46">
        <v>74242787</v>
      </c>
      <c r="AY46">
        <v>1</v>
      </c>
      <c r="AZ46">
        <v>0</v>
      </c>
      <c r="BA46">
        <v>46</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CV46">
        <v>0</v>
      </c>
      <c r="CW46">
        <f>ROUND(Y46*Source!I49*DO46,9)</f>
        <v>0</v>
      </c>
      <c r="CX46">
        <f>ROUND(Y46*Source!I49,9)</f>
        <v>27.124359999999999</v>
      </c>
      <c r="CY46">
        <f>AB46</f>
        <v>2.0699999999999998</v>
      </c>
      <c r="CZ46">
        <f>AF46</f>
        <v>2.0699999999999998</v>
      </c>
      <c r="DA46">
        <f>AJ46</f>
        <v>1</v>
      </c>
      <c r="DB46">
        <f t="shared" si="10"/>
        <v>1.9</v>
      </c>
      <c r="DC46">
        <f t="shared" si="11"/>
        <v>0</v>
      </c>
      <c r="DD46" t="s">
        <v>6</v>
      </c>
      <c r="DE46" t="s">
        <v>6</v>
      </c>
      <c r="DF46">
        <f t="shared" si="13"/>
        <v>0</v>
      </c>
      <c r="DG46">
        <f t="shared" si="12"/>
        <v>54</v>
      </c>
      <c r="DH46">
        <f>Source!I49*SmtRes!Y46</f>
        <v>27.124360000000003</v>
      </c>
      <c r="DI46">
        <f>AB46</f>
        <v>2.0699999999999998</v>
      </c>
      <c r="DJ46">
        <f>EtalonRes!Z46</f>
        <v>2.0699999999999998</v>
      </c>
      <c r="DK46">
        <f>Source!BB49</f>
        <v>1</v>
      </c>
      <c r="DL46" t="s">
        <v>6</v>
      </c>
      <c r="DM46">
        <v>0</v>
      </c>
      <c r="DN46" t="s">
        <v>6</v>
      </c>
      <c r="DO46">
        <v>0</v>
      </c>
      <c r="GQ46">
        <v>-1</v>
      </c>
      <c r="GR46">
        <v>-1</v>
      </c>
    </row>
    <row r="47" spans="1:200" x14ac:dyDescent="0.2">
      <c r="A47">
        <f>ROW(Source!A49)</f>
        <v>49</v>
      </c>
      <c r="B47">
        <v>74242616</v>
      </c>
      <c r="C47">
        <v>74242774</v>
      </c>
      <c r="D47">
        <v>10843192</v>
      </c>
      <c r="E47">
        <v>1</v>
      </c>
      <c r="F47">
        <v>1</v>
      </c>
      <c r="G47">
        <v>1</v>
      </c>
      <c r="H47">
        <v>2</v>
      </c>
      <c r="I47" t="s">
        <v>256</v>
      </c>
      <c r="J47" t="s">
        <v>271</v>
      </c>
      <c r="K47" t="s">
        <v>272</v>
      </c>
      <c r="L47">
        <v>1480</v>
      </c>
      <c r="N47">
        <v>1013</v>
      </c>
      <c r="O47" t="s">
        <v>266</v>
      </c>
      <c r="P47" t="s">
        <v>267</v>
      </c>
      <c r="Q47">
        <v>1</v>
      </c>
      <c r="W47">
        <v>0</v>
      </c>
      <c r="X47">
        <v>-1592911513</v>
      </c>
      <c r="Y47">
        <f t="shared" si="9"/>
        <v>0.06</v>
      </c>
      <c r="AA47">
        <v>0</v>
      </c>
      <c r="AB47">
        <v>85.94</v>
      </c>
      <c r="AC47">
        <v>0</v>
      </c>
      <c r="AD47">
        <v>0</v>
      </c>
      <c r="AE47">
        <v>0</v>
      </c>
      <c r="AF47">
        <v>85.94</v>
      </c>
      <c r="AG47">
        <v>0</v>
      </c>
      <c r="AH47">
        <v>0</v>
      </c>
      <c r="AI47">
        <v>1</v>
      </c>
      <c r="AJ47">
        <v>1</v>
      </c>
      <c r="AK47">
        <v>1</v>
      </c>
      <c r="AL47">
        <v>1</v>
      </c>
      <c r="AM47">
        <v>0</v>
      </c>
      <c r="AN47">
        <v>0</v>
      </c>
      <c r="AO47">
        <v>1</v>
      </c>
      <c r="AP47">
        <v>0</v>
      </c>
      <c r="AQ47">
        <v>0</v>
      </c>
      <c r="AR47">
        <v>0</v>
      </c>
      <c r="AS47" t="s">
        <v>6</v>
      </c>
      <c r="AT47">
        <v>0.06</v>
      </c>
      <c r="AU47" t="s">
        <v>6</v>
      </c>
      <c r="AV47">
        <v>0</v>
      </c>
      <c r="AW47">
        <v>2</v>
      </c>
      <c r="AX47">
        <v>74242788</v>
      </c>
      <c r="AY47">
        <v>1</v>
      </c>
      <c r="AZ47">
        <v>0</v>
      </c>
      <c r="BA47">
        <v>47</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v>
      </c>
      <c r="BV47">
        <v>0</v>
      </c>
      <c r="BW47">
        <v>0</v>
      </c>
      <c r="CV47">
        <v>0</v>
      </c>
      <c r="CW47">
        <f>ROUND(Y47*Source!I49*DO47,9)</f>
        <v>0</v>
      </c>
      <c r="CX47">
        <f>ROUND(Y47*Source!I49,9)</f>
        <v>1.76898</v>
      </c>
      <c r="CY47">
        <f>AB47</f>
        <v>85.94</v>
      </c>
      <c r="CZ47">
        <f>AF47</f>
        <v>85.94</v>
      </c>
      <c r="DA47">
        <f>AJ47</f>
        <v>1</v>
      </c>
      <c r="DB47">
        <f t="shared" si="10"/>
        <v>5.16</v>
      </c>
      <c r="DC47">
        <f t="shared" si="11"/>
        <v>0</v>
      </c>
      <c r="DD47" t="s">
        <v>6</v>
      </c>
      <c r="DE47" t="s">
        <v>6</v>
      </c>
      <c r="DF47">
        <f t="shared" si="13"/>
        <v>0</v>
      </c>
      <c r="DG47">
        <f t="shared" si="12"/>
        <v>152</v>
      </c>
      <c r="DH47">
        <f>Source!I49*SmtRes!Y47</f>
        <v>1.76898</v>
      </c>
      <c r="DI47">
        <f>AB47</f>
        <v>85.94</v>
      </c>
      <c r="DJ47">
        <f>EtalonRes!Z47</f>
        <v>85.94</v>
      </c>
      <c r="DK47">
        <f>Source!BB49</f>
        <v>1</v>
      </c>
      <c r="DL47" t="s">
        <v>6</v>
      </c>
      <c r="DM47">
        <v>0</v>
      </c>
      <c r="DN47" t="s">
        <v>6</v>
      </c>
      <c r="DO47">
        <v>0</v>
      </c>
      <c r="GQ47">
        <v>-1</v>
      </c>
      <c r="GR47">
        <v>-1</v>
      </c>
    </row>
    <row r="48" spans="1:200" x14ac:dyDescent="0.2">
      <c r="A48">
        <f>ROW(Source!A49)</f>
        <v>49</v>
      </c>
      <c r="B48">
        <v>74242616</v>
      </c>
      <c r="C48">
        <v>74242774</v>
      </c>
      <c r="D48">
        <v>10841946</v>
      </c>
      <c r="E48">
        <v>1</v>
      </c>
      <c r="F48">
        <v>1</v>
      </c>
      <c r="G48">
        <v>1</v>
      </c>
      <c r="H48">
        <v>3</v>
      </c>
      <c r="I48" t="s">
        <v>61</v>
      </c>
      <c r="J48" t="s">
        <v>64</v>
      </c>
      <c r="K48" t="s">
        <v>62</v>
      </c>
      <c r="L48">
        <v>1327</v>
      </c>
      <c r="N48">
        <v>1005</v>
      </c>
      <c r="O48" t="s">
        <v>63</v>
      </c>
      <c r="P48" t="s">
        <v>63</v>
      </c>
      <c r="Q48">
        <v>1</v>
      </c>
      <c r="W48">
        <v>0</v>
      </c>
      <c r="X48">
        <v>-1540695423</v>
      </c>
      <c r="Y48">
        <f t="shared" si="9"/>
        <v>1.2E-2</v>
      </c>
      <c r="AA48">
        <v>57.14</v>
      </c>
      <c r="AB48">
        <v>0</v>
      </c>
      <c r="AC48">
        <v>0</v>
      </c>
      <c r="AD48">
        <v>0</v>
      </c>
      <c r="AE48">
        <v>57.14</v>
      </c>
      <c r="AF48">
        <v>0</v>
      </c>
      <c r="AG48">
        <v>0</v>
      </c>
      <c r="AH48">
        <v>0</v>
      </c>
      <c r="AI48">
        <v>1</v>
      </c>
      <c r="AJ48">
        <v>1</v>
      </c>
      <c r="AK48">
        <v>1</v>
      </c>
      <c r="AL48">
        <v>1</v>
      </c>
      <c r="AM48">
        <v>0</v>
      </c>
      <c r="AN48">
        <v>0</v>
      </c>
      <c r="AO48">
        <v>0</v>
      </c>
      <c r="AP48">
        <v>1</v>
      </c>
      <c r="AQ48">
        <v>0</v>
      </c>
      <c r="AR48">
        <v>0</v>
      </c>
      <c r="AS48" t="s">
        <v>6</v>
      </c>
      <c r="AT48">
        <v>1.2E-2</v>
      </c>
      <c r="AU48" t="s">
        <v>6</v>
      </c>
      <c r="AV48">
        <v>0</v>
      </c>
      <c r="AW48">
        <v>2</v>
      </c>
      <c r="AX48">
        <v>74242789</v>
      </c>
      <c r="AY48">
        <v>1</v>
      </c>
      <c r="AZ48">
        <v>0</v>
      </c>
      <c r="BA48">
        <v>48</v>
      </c>
      <c r="BB48">
        <v>3</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CV48">
        <v>0</v>
      </c>
      <c r="CW48">
        <v>0</v>
      </c>
      <c r="CX48">
        <f>ROUND(Y48*Source!I49,9)</f>
        <v>0.353796</v>
      </c>
      <c r="CY48">
        <f>AA48</f>
        <v>57.14</v>
      </c>
      <c r="CZ48">
        <f>AE48</f>
        <v>57.14</v>
      </c>
      <c r="DA48">
        <f>AI48</f>
        <v>1</v>
      </c>
      <c r="DB48">
        <f t="shared" si="10"/>
        <v>0.69</v>
      </c>
      <c r="DC48">
        <f t="shared" si="11"/>
        <v>0</v>
      </c>
      <c r="DD48" t="s">
        <v>6</v>
      </c>
      <c r="DE48" t="s">
        <v>6</v>
      </c>
      <c r="DF48">
        <f t="shared" si="13"/>
        <v>20</v>
      </c>
      <c r="DG48">
        <f t="shared" si="12"/>
        <v>0</v>
      </c>
      <c r="DH48">
        <f>Source!I49*SmtRes!Y48</f>
        <v>0.353796</v>
      </c>
      <c r="DI48">
        <f>AA48</f>
        <v>57.14</v>
      </c>
      <c r="DJ48">
        <f>EtalonRes!Y48</f>
        <v>57.14</v>
      </c>
      <c r="DK48">
        <f>Source!BC49</f>
        <v>1</v>
      </c>
      <c r="DL48" t="s">
        <v>6</v>
      </c>
      <c r="DM48">
        <v>0</v>
      </c>
      <c r="DN48" t="s">
        <v>6</v>
      </c>
      <c r="DO48">
        <v>0</v>
      </c>
      <c r="GP48">
        <v>1</v>
      </c>
      <c r="GQ48">
        <v>-1</v>
      </c>
      <c r="GR48">
        <v>-1</v>
      </c>
    </row>
    <row r="49" spans="1:200" x14ac:dyDescent="0.2">
      <c r="A49">
        <f>ROW(Source!A49)</f>
        <v>49</v>
      </c>
      <c r="B49">
        <v>74242616</v>
      </c>
      <c r="C49">
        <v>74242774</v>
      </c>
      <c r="D49">
        <v>35898280</v>
      </c>
      <c r="E49">
        <v>1</v>
      </c>
      <c r="F49">
        <v>1</v>
      </c>
      <c r="G49">
        <v>1</v>
      </c>
      <c r="H49">
        <v>3</v>
      </c>
      <c r="I49" t="s">
        <v>84</v>
      </c>
      <c r="J49" t="s">
        <v>86</v>
      </c>
      <c r="K49" t="s">
        <v>85</v>
      </c>
      <c r="L49">
        <v>1348</v>
      </c>
      <c r="N49">
        <v>1009</v>
      </c>
      <c r="O49" t="s">
        <v>44</v>
      </c>
      <c r="P49" t="s">
        <v>44</v>
      </c>
      <c r="Q49">
        <v>1000</v>
      </c>
      <c r="W49">
        <v>0</v>
      </c>
      <c r="X49">
        <v>2058864970</v>
      </c>
      <c r="Y49">
        <f t="shared" si="9"/>
        <v>4.0300000000000002E-2</v>
      </c>
      <c r="AA49">
        <v>4319.75</v>
      </c>
      <c r="AB49">
        <v>0</v>
      </c>
      <c r="AC49">
        <v>0</v>
      </c>
      <c r="AD49">
        <v>0</v>
      </c>
      <c r="AE49">
        <v>4319.75</v>
      </c>
      <c r="AF49">
        <v>0</v>
      </c>
      <c r="AG49">
        <v>0</v>
      </c>
      <c r="AH49">
        <v>0</v>
      </c>
      <c r="AI49">
        <v>1</v>
      </c>
      <c r="AJ49">
        <v>1</v>
      </c>
      <c r="AK49">
        <v>1</v>
      </c>
      <c r="AL49">
        <v>1</v>
      </c>
      <c r="AM49">
        <v>0</v>
      </c>
      <c r="AN49">
        <v>0</v>
      </c>
      <c r="AO49">
        <v>0</v>
      </c>
      <c r="AP49">
        <v>1</v>
      </c>
      <c r="AQ49">
        <v>0</v>
      </c>
      <c r="AR49">
        <v>0</v>
      </c>
      <c r="AS49" t="s">
        <v>6</v>
      </c>
      <c r="AT49">
        <v>4.0300000000000002E-2</v>
      </c>
      <c r="AU49" t="s">
        <v>6</v>
      </c>
      <c r="AV49">
        <v>0</v>
      </c>
      <c r="AW49">
        <v>2</v>
      </c>
      <c r="AX49">
        <v>74242790</v>
      </c>
      <c r="AY49">
        <v>1</v>
      </c>
      <c r="AZ49">
        <v>0</v>
      </c>
      <c r="BA49">
        <v>49</v>
      </c>
      <c r="BB49">
        <v>3</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CV49">
        <v>0</v>
      </c>
      <c r="CW49">
        <v>0</v>
      </c>
      <c r="CX49">
        <f>ROUND(Y49*Source!I49,9)</f>
        <v>1.1881649000000001</v>
      </c>
      <c r="CY49">
        <f>AA49</f>
        <v>4319.75</v>
      </c>
      <c r="CZ49">
        <f>AE49</f>
        <v>4319.75</v>
      </c>
      <c r="DA49">
        <f>AI49</f>
        <v>1</v>
      </c>
      <c r="DB49">
        <f t="shared" si="10"/>
        <v>174.09</v>
      </c>
      <c r="DC49">
        <f t="shared" si="11"/>
        <v>0</v>
      </c>
      <c r="DD49" t="s">
        <v>6</v>
      </c>
      <c r="DE49" t="s">
        <v>6</v>
      </c>
      <c r="DF49">
        <f t="shared" si="13"/>
        <v>5133</v>
      </c>
      <c r="DG49">
        <f t="shared" si="12"/>
        <v>0</v>
      </c>
      <c r="DH49">
        <f>Source!I49*SmtRes!Y49</f>
        <v>1.1881649000000001</v>
      </c>
      <c r="DI49">
        <f>AA49</f>
        <v>4319.75</v>
      </c>
      <c r="DJ49">
        <f>EtalonRes!Y49</f>
        <v>4319.75</v>
      </c>
      <c r="DK49">
        <f>Source!BC49</f>
        <v>1</v>
      </c>
      <c r="DL49" t="s">
        <v>6</v>
      </c>
      <c r="DM49">
        <v>0</v>
      </c>
      <c r="DN49" t="s">
        <v>6</v>
      </c>
      <c r="DO49">
        <v>0</v>
      </c>
      <c r="GP49">
        <v>1</v>
      </c>
      <c r="GQ49">
        <v>-1</v>
      </c>
      <c r="GR49">
        <v>-1</v>
      </c>
    </row>
    <row r="50" spans="1:200" x14ac:dyDescent="0.2">
      <c r="A50">
        <f>ROW(Source!A49)</f>
        <v>49</v>
      </c>
      <c r="B50">
        <v>74242616</v>
      </c>
      <c r="C50">
        <v>74242774</v>
      </c>
      <c r="D50">
        <v>27371543</v>
      </c>
      <c r="E50">
        <v>1</v>
      </c>
      <c r="F50">
        <v>1</v>
      </c>
      <c r="G50">
        <v>1</v>
      </c>
      <c r="H50">
        <v>3</v>
      </c>
      <c r="I50" t="s">
        <v>31</v>
      </c>
      <c r="J50" t="s">
        <v>34</v>
      </c>
      <c r="K50" t="s">
        <v>32</v>
      </c>
      <c r="L50">
        <v>1346</v>
      </c>
      <c r="N50">
        <v>1009</v>
      </c>
      <c r="O50" t="s">
        <v>33</v>
      </c>
      <c r="P50" t="s">
        <v>33</v>
      </c>
      <c r="Q50">
        <v>1</v>
      </c>
      <c r="W50">
        <v>0</v>
      </c>
      <c r="X50">
        <v>-386994921</v>
      </c>
      <c r="Y50">
        <f t="shared" si="9"/>
        <v>0.1</v>
      </c>
      <c r="AA50">
        <v>1.82</v>
      </c>
      <c r="AB50">
        <v>0</v>
      </c>
      <c r="AC50">
        <v>0</v>
      </c>
      <c r="AD50">
        <v>0</v>
      </c>
      <c r="AE50">
        <v>1.82</v>
      </c>
      <c r="AF50">
        <v>0</v>
      </c>
      <c r="AG50">
        <v>0</v>
      </c>
      <c r="AH50">
        <v>0</v>
      </c>
      <c r="AI50">
        <v>1</v>
      </c>
      <c r="AJ50">
        <v>1</v>
      </c>
      <c r="AK50">
        <v>1</v>
      </c>
      <c r="AL50">
        <v>1</v>
      </c>
      <c r="AM50">
        <v>0</v>
      </c>
      <c r="AN50">
        <v>0</v>
      </c>
      <c r="AO50">
        <v>0</v>
      </c>
      <c r="AP50">
        <v>1</v>
      </c>
      <c r="AQ50">
        <v>0</v>
      </c>
      <c r="AR50">
        <v>0</v>
      </c>
      <c r="AS50" t="s">
        <v>6</v>
      </c>
      <c r="AT50">
        <v>0.1</v>
      </c>
      <c r="AU50" t="s">
        <v>6</v>
      </c>
      <c r="AV50">
        <v>0</v>
      </c>
      <c r="AW50">
        <v>2</v>
      </c>
      <c r="AX50">
        <v>74242791</v>
      </c>
      <c r="AY50">
        <v>2</v>
      </c>
      <c r="AZ50">
        <v>16384</v>
      </c>
      <c r="BA50">
        <v>50</v>
      </c>
      <c r="BB50">
        <v>3</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CV50">
        <v>0</v>
      </c>
      <c r="CW50">
        <v>0</v>
      </c>
      <c r="CX50">
        <f>ROUND(Y50*Source!I49,9)</f>
        <v>2.9483000000000001</v>
      </c>
      <c r="CY50">
        <f>AA50</f>
        <v>1.82</v>
      </c>
      <c r="CZ50">
        <f>AE50</f>
        <v>1.82</v>
      </c>
      <c r="DA50">
        <f>AI50</f>
        <v>1</v>
      </c>
      <c r="DB50">
        <f t="shared" si="10"/>
        <v>0.18</v>
      </c>
      <c r="DC50">
        <f t="shared" si="11"/>
        <v>0</v>
      </c>
      <c r="DD50" t="s">
        <v>6</v>
      </c>
      <c r="DE50" t="s">
        <v>6</v>
      </c>
      <c r="DF50">
        <f t="shared" si="13"/>
        <v>6</v>
      </c>
      <c r="DG50">
        <f t="shared" si="12"/>
        <v>0</v>
      </c>
      <c r="DH50">
        <f>Source!I49*SmtRes!Y50</f>
        <v>2.9483000000000001</v>
      </c>
      <c r="DI50">
        <f>AA50</f>
        <v>1.82</v>
      </c>
      <c r="DJ50">
        <f>EtalonRes!Y50</f>
        <v>3.19</v>
      </c>
      <c r="DK50">
        <f>Source!BC49</f>
        <v>1</v>
      </c>
      <c r="DL50" t="s">
        <v>6</v>
      </c>
      <c r="DM50">
        <v>0</v>
      </c>
      <c r="DN50" t="s">
        <v>6</v>
      </c>
      <c r="DO50">
        <v>0</v>
      </c>
      <c r="GP50">
        <v>1</v>
      </c>
      <c r="GQ50">
        <v>-1</v>
      </c>
      <c r="GR50">
        <v>-1</v>
      </c>
    </row>
    <row r="51" spans="1:200" x14ac:dyDescent="0.2">
      <c r="A51">
        <f>ROW(Source!A49)</f>
        <v>49</v>
      </c>
      <c r="B51">
        <v>74242616</v>
      </c>
      <c r="C51">
        <v>74242774</v>
      </c>
      <c r="D51">
        <v>10825323</v>
      </c>
      <c r="E51">
        <v>1</v>
      </c>
      <c r="F51">
        <v>1</v>
      </c>
      <c r="G51">
        <v>1</v>
      </c>
      <c r="H51">
        <v>3</v>
      </c>
      <c r="I51" t="s">
        <v>73</v>
      </c>
      <c r="J51" t="s">
        <v>76</v>
      </c>
      <c r="K51" t="s">
        <v>74</v>
      </c>
      <c r="L51">
        <v>1339</v>
      </c>
      <c r="N51">
        <v>1007</v>
      </c>
      <c r="O51" t="s">
        <v>75</v>
      </c>
      <c r="P51" t="s">
        <v>75</v>
      </c>
      <c r="Q51">
        <v>1</v>
      </c>
      <c r="W51">
        <v>0</v>
      </c>
      <c r="X51">
        <v>1444665788</v>
      </c>
      <c r="Y51">
        <f t="shared" si="9"/>
        <v>1.7100000000000001E-2</v>
      </c>
      <c r="AA51">
        <v>7.14</v>
      </c>
      <c r="AB51">
        <v>0</v>
      </c>
      <c r="AC51">
        <v>0</v>
      </c>
      <c r="AD51">
        <v>0</v>
      </c>
      <c r="AE51">
        <v>7.14</v>
      </c>
      <c r="AF51">
        <v>0</v>
      </c>
      <c r="AG51">
        <v>0</v>
      </c>
      <c r="AH51">
        <v>0</v>
      </c>
      <c r="AI51">
        <v>1</v>
      </c>
      <c r="AJ51">
        <v>1</v>
      </c>
      <c r="AK51">
        <v>1</v>
      </c>
      <c r="AL51">
        <v>1</v>
      </c>
      <c r="AM51">
        <v>0</v>
      </c>
      <c r="AN51">
        <v>0</v>
      </c>
      <c r="AO51">
        <v>0</v>
      </c>
      <c r="AP51">
        <v>1</v>
      </c>
      <c r="AQ51">
        <v>0</v>
      </c>
      <c r="AR51">
        <v>0</v>
      </c>
      <c r="AS51" t="s">
        <v>6</v>
      </c>
      <c r="AT51">
        <v>1.7100000000000001E-2</v>
      </c>
      <c r="AU51" t="s">
        <v>6</v>
      </c>
      <c r="AV51">
        <v>0</v>
      </c>
      <c r="AW51">
        <v>2</v>
      </c>
      <c r="AX51">
        <v>74242792</v>
      </c>
      <c r="AY51">
        <v>1</v>
      </c>
      <c r="AZ51">
        <v>0</v>
      </c>
      <c r="BA51">
        <v>51</v>
      </c>
      <c r="BB51">
        <v>3</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CV51">
        <v>0</v>
      </c>
      <c r="CW51">
        <v>0</v>
      </c>
      <c r="CX51">
        <f>ROUND(Y51*Source!I49,9)</f>
        <v>0.50415929999999998</v>
      </c>
      <c r="CY51">
        <f>AA51</f>
        <v>7.14</v>
      </c>
      <c r="CZ51">
        <f>AE51</f>
        <v>7.14</v>
      </c>
      <c r="DA51">
        <f>AI51</f>
        <v>1</v>
      </c>
      <c r="DB51">
        <f t="shared" si="10"/>
        <v>0.12</v>
      </c>
      <c r="DC51">
        <f t="shared" si="11"/>
        <v>0</v>
      </c>
      <c r="DD51" t="s">
        <v>6</v>
      </c>
      <c r="DE51" t="s">
        <v>6</v>
      </c>
      <c r="DF51">
        <f t="shared" si="13"/>
        <v>4</v>
      </c>
      <c r="DG51">
        <f t="shared" si="12"/>
        <v>0</v>
      </c>
      <c r="DH51">
        <f>Source!I49*SmtRes!Y51</f>
        <v>0.50415929999999998</v>
      </c>
      <c r="DI51">
        <f>AA51</f>
        <v>7.14</v>
      </c>
      <c r="DJ51">
        <f>EtalonRes!Y51</f>
        <v>7.14</v>
      </c>
      <c r="DK51">
        <f>Source!BC49</f>
        <v>1</v>
      </c>
      <c r="DL51" t="s">
        <v>6</v>
      </c>
      <c r="DM51">
        <v>0</v>
      </c>
      <c r="DN51" t="s">
        <v>6</v>
      </c>
      <c r="DO51">
        <v>0</v>
      </c>
      <c r="GP51">
        <v>1</v>
      </c>
      <c r="GQ51">
        <v>-1</v>
      </c>
      <c r="GR51">
        <v>-1</v>
      </c>
    </row>
    <row r="52" spans="1:200" x14ac:dyDescent="0.2">
      <c r="A52">
        <f>ROW(Source!A50)</f>
        <v>50</v>
      </c>
      <c r="B52">
        <v>74242617</v>
      </c>
      <c r="C52">
        <v>74242774</v>
      </c>
      <c r="D52">
        <v>5510968</v>
      </c>
      <c r="E52">
        <v>1</v>
      </c>
      <c r="F52">
        <v>1</v>
      </c>
      <c r="G52">
        <v>1</v>
      </c>
      <c r="H52">
        <v>1</v>
      </c>
      <c r="I52" t="s">
        <v>261</v>
      </c>
      <c r="J52" t="s">
        <v>6</v>
      </c>
      <c r="K52" t="s">
        <v>262</v>
      </c>
      <c r="L52">
        <v>1369</v>
      </c>
      <c r="N52">
        <v>1013</v>
      </c>
      <c r="O52" t="s">
        <v>249</v>
      </c>
      <c r="P52" t="s">
        <v>249</v>
      </c>
      <c r="Q52">
        <v>1</v>
      </c>
      <c r="W52">
        <v>0</v>
      </c>
      <c r="X52">
        <v>-1305892198</v>
      </c>
      <c r="Y52">
        <f t="shared" si="9"/>
        <v>14.68</v>
      </c>
      <c r="AA52">
        <v>0</v>
      </c>
      <c r="AB52">
        <v>0</v>
      </c>
      <c r="AC52">
        <v>0</v>
      </c>
      <c r="AD52">
        <v>335.97</v>
      </c>
      <c r="AE52">
        <v>0</v>
      </c>
      <c r="AF52">
        <v>0</v>
      </c>
      <c r="AG52">
        <v>0</v>
      </c>
      <c r="AH52">
        <v>9.7100000000000009</v>
      </c>
      <c r="AI52">
        <v>1</v>
      </c>
      <c r="AJ52">
        <v>1</v>
      </c>
      <c r="AK52">
        <v>1</v>
      </c>
      <c r="AL52">
        <v>34.6</v>
      </c>
      <c r="AM52">
        <v>5</v>
      </c>
      <c r="AN52">
        <v>0</v>
      </c>
      <c r="AO52">
        <v>1</v>
      </c>
      <c r="AP52">
        <v>0</v>
      </c>
      <c r="AQ52">
        <v>0</v>
      </c>
      <c r="AR52">
        <v>0</v>
      </c>
      <c r="AS52" t="s">
        <v>6</v>
      </c>
      <c r="AT52">
        <v>14.68</v>
      </c>
      <c r="AU52" t="s">
        <v>6</v>
      </c>
      <c r="AV52">
        <v>1</v>
      </c>
      <c r="AW52">
        <v>2</v>
      </c>
      <c r="AX52">
        <v>74242784</v>
      </c>
      <c r="AY52">
        <v>1</v>
      </c>
      <c r="AZ52">
        <v>0</v>
      </c>
      <c r="BA52">
        <v>52</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CU52">
        <f>ROUND(AT52*Source!I50*AH52*AL52,0)</f>
        <v>145410</v>
      </c>
      <c r="CV52">
        <f>ROUND(Y52*Source!I50,9)</f>
        <v>432.81044000000003</v>
      </c>
      <c r="CW52">
        <v>0</v>
      </c>
      <c r="CX52">
        <f>ROUND(Y52*Source!I50,9)</f>
        <v>432.81044000000003</v>
      </c>
      <c r="CY52">
        <f>AD52</f>
        <v>335.97</v>
      </c>
      <c r="CZ52">
        <f>AH52</f>
        <v>9.7100000000000009</v>
      </c>
      <c r="DA52">
        <f>AL52</f>
        <v>34.6</v>
      </c>
      <c r="DB52">
        <f t="shared" si="10"/>
        <v>142.54</v>
      </c>
      <c r="DC52">
        <f t="shared" si="11"/>
        <v>0</v>
      </c>
      <c r="DD52" t="s">
        <v>6</v>
      </c>
      <c r="DE52" t="s">
        <v>6</v>
      </c>
      <c r="DF52">
        <f t="shared" si="13"/>
        <v>0</v>
      </c>
      <c r="DG52">
        <f t="shared" si="12"/>
        <v>0</v>
      </c>
      <c r="DH52">
        <f>Source!I50*SmtRes!Y52</f>
        <v>432.81043999999997</v>
      </c>
      <c r="DI52">
        <f>AD52</f>
        <v>335.97</v>
      </c>
      <c r="DJ52">
        <f>EtalonRes!AB52</f>
        <v>9.7100000000000009</v>
      </c>
      <c r="DK52">
        <f>Source!BA50</f>
        <v>34.6</v>
      </c>
      <c r="DL52" t="s">
        <v>6</v>
      </c>
      <c r="DM52">
        <v>0</v>
      </c>
      <c r="DN52" t="s">
        <v>6</v>
      </c>
      <c r="DO52">
        <v>0</v>
      </c>
      <c r="GQ52">
        <v>-1</v>
      </c>
      <c r="GR52">
        <v>-1</v>
      </c>
    </row>
    <row r="53" spans="1:200" x14ac:dyDescent="0.2">
      <c r="A53">
        <f>ROW(Source!A50)</f>
        <v>50</v>
      </c>
      <c r="B53">
        <v>74242617</v>
      </c>
      <c r="C53">
        <v>74242774</v>
      </c>
      <c r="D53">
        <v>121548</v>
      </c>
      <c r="E53">
        <v>1</v>
      </c>
      <c r="F53">
        <v>1</v>
      </c>
      <c r="G53">
        <v>1</v>
      </c>
      <c r="H53">
        <v>1</v>
      </c>
      <c r="I53" t="s">
        <v>40</v>
      </c>
      <c r="J53" t="s">
        <v>6</v>
      </c>
      <c r="K53" t="s">
        <v>250</v>
      </c>
      <c r="L53">
        <v>608254</v>
      </c>
      <c r="N53">
        <v>1013</v>
      </c>
      <c r="O53" t="s">
        <v>251</v>
      </c>
      <c r="P53" t="s">
        <v>251</v>
      </c>
      <c r="Q53">
        <v>1</v>
      </c>
      <c r="W53">
        <v>0</v>
      </c>
      <c r="X53">
        <v>-185737400</v>
      </c>
      <c r="Y53">
        <f t="shared" si="9"/>
        <v>0.08</v>
      </c>
      <c r="AA53">
        <v>0</v>
      </c>
      <c r="AB53">
        <v>0</v>
      </c>
      <c r="AC53">
        <v>0</v>
      </c>
      <c r="AD53">
        <v>0</v>
      </c>
      <c r="AE53">
        <v>0</v>
      </c>
      <c r="AF53">
        <v>0</v>
      </c>
      <c r="AG53">
        <v>0</v>
      </c>
      <c r="AH53">
        <v>0</v>
      </c>
      <c r="AI53">
        <v>1</v>
      </c>
      <c r="AJ53">
        <v>1</v>
      </c>
      <c r="AK53">
        <v>30.1</v>
      </c>
      <c r="AL53">
        <v>1</v>
      </c>
      <c r="AM53">
        <v>5</v>
      </c>
      <c r="AN53">
        <v>0</v>
      </c>
      <c r="AO53">
        <v>1</v>
      </c>
      <c r="AP53">
        <v>0</v>
      </c>
      <c r="AQ53">
        <v>0</v>
      </c>
      <c r="AR53">
        <v>0</v>
      </c>
      <c r="AS53" t="s">
        <v>6</v>
      </c>
      <c r="AT53">
        <v>0.08</v>
      </c>
      <c r="AU53" t="s">
        <v>6</v>
      </c>
      <c r="AV53">
        <v>2</v>
      </c>
      <c r="AW53">
        <v>2</v>
      </c>
      <c r="AX53">
        <v>74242785</v>
      </c>
      <c r="AY53">
        <v>1</v>
      </c>
      <c r="AZ53">
        <v>0</v>
      </c>
      <c r="BA53">
        <v>53</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CV53">
        <v>0</v>
      </c>
      <c r="CW53">
        <v>0</v>
      </c>
      <c r="CX53">
        <f>ROUND(Y53*Source!I50,9)</f>
        <v>2.3586399999999998</v>
      </c>
      <c r="CY53">
        <f>AD53</f>
        <v>0</v>
      </c>
      <c r="CZ53">
        <f>AH53</f>
        <v>0</v>
      </c>
      <c r="DA53">
        <f>AL53</f>
        <v>1</v>
      </c>
      <c r="DB53">
        <f t="shared" si="10"/>
        <v>0</v>
      </c>
      <c r="DC53">
        <f t="shared" si="11"/>
        <v>0</v>
      </c>
      <c r="DD53" t="s">
        <v>6</v>
      </c>
      <c r="DE53" t="s">
        <v>6</v>
      </c>
      <c r="DF53">
        <f t="shared" si="13"/>
        <v>0</v>
      </c>
      <c r="DG53">
        <f t="shared" si="12"/>
        <v>0</v>
      </c>
      <c r="DH53">
        <f>Source!I50*SmtRes!Y53</f>
        <v>2.3586400000000003</v>
      </c>
      <c r="DI53">
        <f>AD53</f>
        <v>0</v>
      </c>
      <c r="DJ53">
        <f>EtalonRes!AB53</f>
        <v>0</v>
      </c>
      <c r="DK53">
        <f>Source!BA50</f>
        <v>34.6</v>
      </c>
      <c r="DL53" t="s">
        <v>6</v>
      </c>
      <c r="DM53">
        <v>0</v>
      </c>
      <c r="DN53" t="s">
        <v>6</v>
      </c>
      <c r="DO53">
        <v>0</v>
      </c>
      <c r="GQ53">
        <v>-1</v>
      </c>
      <c r="GR53">
        <v>-1</v>
      </c>
    </row>
    <row r="54" spans="1:200" x14ac:dyDescent="0.2">
      <c r="A54">
        <f>ROW(Source!A50)</f>
        <v>50</v>
      </c>
      <c r="B54">
        <v>74242617</v>
      </c>
      <c r="C54">
        <v>74242774</v>
      </c>
      <c r="D54">
        <v>10844859</v>
      </c>
      <c r="E54">
        <v>1</v>
      </c>
      <c r="F54">
        <v>1</v>
      </c>
      <c r="G54">
        <v>1</v>
      </c>
      <c r="H54">
        <v>2</v>
      </c>
      <c r="I54" t="s">
        <v>263</v>
      </c>
      <c r="J54" t="s">
        <v>264</v>
      </c>
      <c r="K54" t="s">
        <v>265</v>
      </c>
      <c r="L54">
        <v>1480</v>
      </c>
      <c r="N54">
        <v>1013</v>
      </c>
      <c r="O54" t="s">
        <v>266</v>
      </c>
      <c r="P54" t="s">
        <v>267</v>
      </c>
      <c r="Q54">
        <v>1</v>
      </c>
      <c r="W54">
        <v>0</v>
      </c>
      <c r="X54">
        <v>1241890182</v>
      </c>
      <c r="Y54">
        <f t="shared" si="9"/>
        <v>0.02</v>
      </c>
      <c r="AA54">
        <v>0</v>
      </c>
      <c r="AB54">
        <v>704.14</v>
      </c>
      <c r="AC54">
        <v>391.9</v>
      </c>
      <c r="AD54">
        <v>0</v>
      </c>
      <c r="AE54">
        <v>0</v>
      </c>
      <c r="AF54">
        <v>55.14</v>
      </c>
      <c r="AG54">
        <v>13.02</v>
      </c>
      <c r="AH54">
        <v>0</v>
      </c>
      <c r="AI54">
        <v>1</v>
      </c>
      <c r="AJ54">
        <v>12.77</v>
      </c>
      <c r="AK54">
        <v>30.1</v>
      </c>
      <c r="AL54">
        <v>1</v>
      </c>
      <c r="AM54">
        <v>5</v>
      </c>
      <c r="AN54">
        <v>0</v>
      </c>
      <c r="AO54">
        <v>1</v>
      </c>
      <c r="AP54">
        <v>0</v>
      </c>
      <c r="AQ54">
        <v>0</v>
      </c>
      <c r="AR54">
        <v>0</v>
      </c>
      <c r="AS54" t="s">
        <v>6</v>
      </c>
      <c r="AT54">
        <v>0.02</v>
      </c>
      <c r="AU54" t="s">
        <v>6</v>
      </c>
      <c r="AV54">
        <v>0</v>
      </c>
      <c r="AW54">
        <v>2</v>
      </c>
      <c r="AX54">
        <v>74242786</v>
      </c>
      <c r="AY54">
        <v>1</v>
      </c>
      <c r="AZ54">
        <v>0</v>
      </c>
      <c r="BA54">
        <v>54</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CV54">
        <v>0</v>
      </c>
      <c r="CW54">
        <f>ROUND(Y54*Source!I50*DO54,9)</f>
        <v>0</v>
      </c>
      <c r="CX54">
        <f>ROUND(Y54*Source!I50,9)</f>
        <v>0.58965999999999996</v>
      </c>
      <c r="CY54">
        <f>AB54</f>
        <v>704.14</v>
      </c>
      <c r="CZ54">
        <f>AF54</f>
        <v>55.14</v>
      </c>
      <c r="DA54">
        <f>AJ54</f>
        <v>12.77</v>
      </c>
      <c r="DB54">
        <f t="shared" si="10"/>
        <v>1.1000000000000001</v>
      </c>
      <c r="DC54">
        <f t="shared" si="11"/>
        <v>0.26</v>
      </c>
      <c r="DD54" t="s">
        <v>6</v>
      </c>
      <c r="DE54" t="s">
        <v>6</v>
      </c>
      <c r="DF54">
        <f t="shared" si="13"/>
        <v>0</v>
      </c>
      <c r="DG54">
        <f>ROUND(ROUND(AF54*AJ54,0)*CX54,0)</f>
        <v>415</v>
      </c>
      <c r="DH54">
        <f>Source!I50*SmtRes!Y54</f>
        <v>0.58966000000000007</v>
      </c>
      <c r="DI54">
        <f>AB54</f>
        <v>704.14</v>
      </c>
      <c r="DJ54">
        <f>EtalonRes!Z54</f>
        <v>55.14</v>
      </c>
      <c r="DK54">
        <f>Source!BB50</f>
        <v>12.77</v>
      </c>
      <c r="DL54" t="s">
        <v>6</v>
      </c>
      <c r="DM54">
        <v>0</v>
      </c>
      <c r="DN54" t="s">
        <v>6</v>
      </c>
      <c r="DO54">
        <v>0</v>
      </c>
      <c r="GQ54">
        <v>-1</v>
      </c>
      <c r="GR54">
        <v>-1</v>
      </c>
    </row>
    <row r="55" spans="1:200" x14ac:dyDescent="0.2">
      <c r="A55">
        <f>ROW(Source!A50)</f>
        <v>50</v>
      </c>
      <c r="B55">
        <v>74242617</v>
      </c>
      <c r="C55">
        <v>74242774</v>
      </c>
      <c r="D55">
        <v>35898338</v>
      </c>
      <c r="E55">
        <v>1</v>
      </c>
      <c r="F55">
        <v>1</v>
      </c>
      <c r="G55">
        <v>1</v>
      </c>
      <c r="H55">
        <v>2</v>
      </c>
      <c r="I55" t="s">
        <v>268</v>
      </c>
      <c r="J55" t="s">
        <v>269</v>
      </c>
      <c r="K55" t="s">
        <v>270</v>
      </c>
      <c r="L55">
        <v>1480</v>
      </c>
      <c r="N55">
        <v>1013</v>
      </c>
      <c r="O55" t="s">
        <v>266</v>
      </c>
      <c r="P55" t="s">
        <v>267</v>
      </c>
      <c r="Q55">
        <v>1</v>
      </c>
      <c r="W55">
        <v>0</v>
      </c>
      <c r="X55">
        <v>-2101324190</v>
      </c>
      <c r="Y55">
        <f t="shared" si="9"/>
        <v>0.92</v>
      </c>
      <c r="AA55">
        <v>0</v>
      </c>
      <c r="AB55">
        <v>26.43</v>
      </c>
      <c r="AC55">
        <v>0</v>
      </c>
      <c r="AD55">
        <v>0</v>
      </c>
      <c r="AE55">
        <v>0</v>
      </c>
      <c r="AF55">
        <v>2.0699999999999998</v>
      </c>
      <c r="AG55">
        <v>0</v>
      </c>
      <c r="AH55">
        <v>0</v>
      </c>
      <c r="AI55">
        <v>1</v>
      </c>
      <c r="AJ55">
        <v>12.77</v>
      </c>
      <c r="AK55">
        <v>30.1</v>
      </c>
      <c r="AL55">
        <v>1</v>
      </c>
      <c r="AM55">
        <v>5</v>
      </c>
      <c r="AN55">
        <v>0</v>
      </c>
      <c r="AO55">
        <v>1</v>
      </c>
      <c r="AP55">
        <v>0</v>
      </c>
      <c r="AQ55">
        <v>0</v>
      </c>
      <c r="AR55">
        <v>0</v>
      </c>
      <c r="AS55" t="s">
        <v>6</v>
      </c>
      <c r="AT55">
        <v>0.92</v>
      </c>
      <c r="AU55" t="s">
        <v>6</v>
      </c>
      <c r="AV55">
        <v>0</v>
      </c>
      <c r="AW55">
        <v>2</v>
      </c>
      <c r="AX55">
        <v>74242787</v>
      </c>
      <c r="AY55">
        <v>1</v>
      </c>
      <c r="AZ55">
        <v>0</v>
      </c>
      <c r="BA55">
        <v>55</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CV55">
        <v>0</v>
      </c>
      <c r="CW55">
        <f>ROUND(Y55*Source!I50*DO55,9)</f>
        <v>0</v>
      </c>
      <c r="CX55">
        <f>ROUND(Y55*Source!I50,9)</f>
        <v>27.124359999999999</v>
      </c>
      <c r="CY55">
        <f>AB55</f>
        <v>26.43</v>
      </c>
      <c r="CZ55">
        <f>AF55</f>
        <v>2.0699999999999998</v>
      </c>
      <c r="DA55">
        <f>AJ55</f>
        <v>12.77</v>
      </c>
      <c r="DB55">
        <f t="shared" si="10"/>
        <v>1.9</v>
      </c>
      <c r="DC55">
        <f t="shared" si="11"/>
        <v>0</v>
      </c>
      <c r="DD55" t="s">
        <v>6</v>
      </c>
      <c r="DE55" t="s">
        <v>6</v>
      </c>
      <c r="DF55">
        <f t="shared" si="13"/>
        <v>0</v>
      </c>
      <c r="DG55">
        <f>ROUND(ROUND(AF55*AJ55,0)*CX55,0)</f>
        <v>705</v>
      </c>
      <c r="DH55">
        <f>Source!I50*SmtRes!Y55</f>
        <v>27.124360000000003</v>
      </c>
      <c r="DI55">
        <f>AB55</f>
        <v>26.43</v>
      </c>
      <c r="DJ55">
        <f>EtalonRes!Z55</f>
        <v>2.0699999999999998</v>
      </c>
      <c r="DK55">
        <f>Source!BB50</f>
        <v>12.77</v>
      </c>
      <c r="DL55" t="s">
        <v>6</v>
      </c>
      <c r="DM55">
        <v>0</v>
      </c>
      <c r="DN55" t="s">
        <v>6</v>
      </c>
      <c r="DO55">
        <v>0</v>
      </c>
      <c r="GQ55">
        <v>-1</v>
      </c>
      <c r="GR55">
        <v>-1</v>
      </c>
    </row>
    <row r="56" spans="1:200" x14ac:dyDescent="0.2">
      <c r="A56">
        <f>ROW(Source!A50)</f>
        <v>50</v>
      </c>
      <c r="B56">
        <v>74242617</v>
      </c>
      <c r="C56">
        <v>74242774</v>
      </c>
      <c r="D56">
        <v>10843192</v>
      </c>
      <c r="E56">
        <v>1</v>
      </c>
      <c r="F56">
        <v>1</v>
      </c>
      <c r="G56">
        <v>1</v>
      </c>
      <c r="H56">
        <v>2</v>
      </c>
      <c r="I56" t="s">
        <v>256</v>
      </c>
      <c r="J56" t="s">
        <v>271</v>
      </c>
      <c r="K56" t="s">
        <v>272</v>
      </c>
      <c r="L56">
        <v>1480</v>
      </c>
      <c r="N56">
        <v>1013</v>
      </c>
      <c r="O56" t="s">
        <v>266</v>
      </c>
      <c r="P56" t="s">
        <v>267</v>
      </c>
      <c r="Q56">
        <v>1</v>
      </c>
      <c r="W56">
        <v>0</v>
      </c>
      <c r="X56">
        <v>-1592911513</v>
      </c>
      <c r="Y56">
        <f t="shared" si="9"/>
        <v>0.06</v>
      </c>
      <c r="AA56">
        <v>0</v>
      </c>
      <c r="AB56">
        <v>1097.45</v>
      </c>
      <c r="AC56">
        <v>0</v>
      </c>
      <c r="AD56">
        <v>0</v>
      </c>
      <c r="AE56">
        <v>0</v>
      </c>
      <c r="AF56">
        <v>85.94</v>
      </c>
      <c r="AG56">
        <v>0</v>
      </c>
      <c r="AH56">
        <v>0</v>
      </c>
      <c r="AI56">
        <v>1</v>
      </c>
      <c r="AJ56">
        <v>12.77</v>
      </c>
      <c r="AK56">
        <v>30.1</v>
      </c>
      <c r="AL56">
        <v>1</v>
      </c>
      <c r="AM56">
        <v>5</v>
      </c>
      <c r="AN56">
        <v>0</v>
      </c>
      <c r="AO56">
        <v>1</v>
      </c>
      <c r="AP56">
        <v>0</v>
      </c>
      <c r="AQ56">
        <v>0</v>
      </c>
      <c r="AR56">
        <v>0</v>
      </c>
      <c r="AS56" t="s">
        <v>6</v>
      </c>
      <c r="AT56">
        <v>0.06</v>
      </c>
      <c r="AU56" t="s">
        <v>6</v>
      </c>
      <c r="AV56">
        <v>0</v>
      </c>
      <c r="AW56">
        <v>2</v>
      </c>
      <c r="AX56">
        <v>74242788</v>
      </c>
      <c r="AY56">
        <v>1</v>
      </c>
      <c r="AZ56">
        <v>0</v>
      </c>
      <c r="BA56">
        <v>56</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0</v>
      </c>
      <c r="BW56">
        <v>0</v>
      </c>
      <c r="CV56">
        <v>0</v>
      </c>
      <c r="CW56">
        <f>ROUND(Y56*Source!I50*DO56,9)</f>
        <v>0</v>
      </c>
      <c r="CX56">
        <f>ROUND(Y56*Source!I50,9)</f>
        <v>1.76898</v>
      </c>
      <c r="CY56">
        <f>AB56</f>
        <v>1097.45</v>
      </c>
      <c r="CZ56">
        <f>AF56</f>
        <v>85.94</v>
      </c>
      <c r="DA56">
        <f>AJ56</f>
        <v>12.77</v>
      </c>
      <c r="DB56">
        <f t="shared" si="10"/>
        <v>5.16</v>
      </c>
      <c r="DC56">
        <f t="shared" si="11"/>
        <v>0</v>
      </c>
      <c r="DD56" t="s">
        <v>6</v>
      </c>
      <c r="DE56" t="s">
        <v>6</v>
      </c>
      <c r="DF56">
        <f t="shared" si="13"/>
        <v>0</v>
      </c>
      <c r="DG56">
        <f>ROUND(ROUND(AF56*AJ56,0)*CX56,0)</f>
        <v>1941</v>
      </c>
      <c r="DH56">
        <f>Source!I50*SmtRes!Y56</f>
        <v>1.76898</v>
      </c>
      <c r="DI56">
        <f>AB56</f>
        <v>1097.45</v>
      </c>
      <c r="DJ56">
        <f>EtalonRes!Z56</f>
        <v>85.94</v>
      </c>
      <c r="DK56">
        <f>Source!BB50</f>
        <v>12.77</v>
      </c>
      <c r="DL56" t="s">
        <v>6</v>
      </c>
      <c r="DM56">
        <v>0</v>
      </c>
      <c r="DN56" t="s">
        <v>6</v>
      </c>
      <c r="DO56">
        <v>0</v>
      </c>
      <c r="GQ56">
        <v>-1</v>
      </c>
      <c r="GR56">
        <v>-1</v>
      </c>
    </row>
    <row r="57" spans="1:200" x14ac:dyDescent="0.2">
      <c r="A57">
        <f>ROW(Source!A50)</f>
        <v>50</v>
      </c>
      <c r="B57">
        <v>74242617</v>
      </c>
      <c r="C57">
        <v>74242774</v>
      </c>
      <c r="D57">
        <v>10841946</v>
      </c>
      <c r="E57">
        <v>1</v>
      </c>
      <c r="F57">
        <v>1</v>
      </c>
      <c r="G57">
        <v>1</v>
      </c>
      <c r="H57">
        <v>3</v>
      </c>
      <c r="I57" t="s">
        <v>61</v>
      </c>
      <c r="J57" t="s">
        <v>64</v>
      </c>
      <c r="K57" t="s">
        <v>62</v>
      </c>
      <c r="L57">
        <v>1327</v>
      </c>
      <c r="N57">
        <v>1005</v>
      </c>
      <c r="O57" t="s">
        <v>63</v>
      </c>
      <c r="P57" t="s">
        <v>63</v>
      </c>
      <c r="Q57">
        <v>1</v>
      </c>
      <c r="W57">
        <v>0</v>
      </c>
      <c r="X57">
        <v>-1540695423</v>
      </c>
      <c r="Y57">
        <f t="shared" si="9"/>
        <v>1.2E-2</v>
      </c>
      <c r="AA57">
        <v>251.1</v>
      </c>
      <c r="AB57">
        <v>0</v>
      </c>
      <c r="AC57">
        <v>0</v>
      </c>
      <c r="AD57">
        <v>0</v>
      </c>
      <c r="AE57">
        <v>34.72</v>
      </c>
      <c r="AF57">
        <v>0</v>
      </c>
      <c r="AG57">
        <v>0</v>
      </c>
      <c r="AH57">
        <v>0</v>
      </c>
      <c r="AI57">
        <v>7.56</v>
      </c>
      <c r="AJ57">
        <v>1</v>
      </c>
      <c r="AK57">
        <v>1</v>
      </c>
      <c r="AL57">
        <v>1</v>
      </c>
      <c r="AM57">
        <v>0</v>
      </c>
      <c r="AN57">
        <v>0</v>
      </c>
      <c r="AO57">
        <v>0</v>
      </c>
      <c r="AP57">
        <v>1</v>
      </c>
      <c r="AQ57">
        <v>0</v>
      </c>
      <c r="AR57">
        <v>0</v>
      </c>
      <c r="AS57" t="s">
        <v>6</v>
      </c>
      <c r="AT57">
        <v>1.2E-2</v>
      </c>
      <c r="AU57" t="s">
        <v>6</v>
      </c>
      <c r="AV57">
        <v>0</v>
      </c>
      <c r="AW57">
        <v>2</v>
      </c>
      <c r="AX57">
        <v>74242789</v>
      </c>
      <c r="AY57">
        <v>1</v>
      </c>
      <c r="AZ57">
        <v>16384</v>
      </c>
      <c r="BA57">
        <v>57</v>
      </c>
      <c r="BB57">
        <v>3</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CV57">
        <v>0</v>
      </c>
      <c r="CW57">
        <v>0</v>
      </c>
      <c r="CX57">
        <f>ROUND(Y57*Source!I50,9)</f>
        <v>0.353796</v>
      </c>
      <c r="CY57">
        <f>AA57</f>
        <v>251.1</v>
      </c>
      <c r="CZ57">
        <f>AE57</f>
        <v>34.72</v>
      </c>
      <c r="DA57">
        <f>AI57</f>
        <v>7.56</v>
      </c>
      <c r="DB57">
        <f t="shared" si="10"/>
        <v>0.42</v>
      </c>
      <c r="DC57">
        <f t="shared" si="11"/>
        <v>0</v>
      </c>
      <c r="DD57" t="s">
        <v>6</v>
      </c>
      <c r="DE57" t="s">
        <v>6</v>
      </c>
      <c r="DF57">
        <f>ROUND(ROUND(AE57*AI57,0)*CX57,0)</f>
        <v>93</v>
      </c>
      <c r="DG57">
        <f t="shared" ref="DG57:DG68" si="14">ROUND(ROUND(AF57,0)*CX57,0)</f>
        <v>0</v>
      </c>
      <c r="DH57">
        <f>Source!I50*SmtRes!Y57</f>
        <v>0.353796</v>
      </c>
      <c r="DI57">
        <f>AA57</f>
        <v>251.1</v>
      </c>
      <c r="DJ57">
        <f>EtalonRes!Y57</f>
        <v>57.14</v>
      </c>
      <c r="DK57">
        <f>Source!BC50</f>
        <v>7.56</v>
      </c>
      <c r="DL57" t="s">
        <v>6</v>
      </c>
      <c r="DM57">
        <v>0</v>
      </c>
      <c r="DN57" t="s">
        <v>6</v>
      </c>
      <c r="DO57">
        <v>0</v>
      </c>
      <c r="GP57">
        <v>1</v>
      </c>
      <c r="GQ57">
        <v>-1</v>
      </c>
      <c r="GR57">
        <v>-1</v>
      </c>
    </row>
    <row r="58" spans="1:200" x14ac:dyDescent="0.2">
      <c r="A58">
        <f>ROW(Source!A50)</f>
        <v>50</v>
      </c>
      <c r="B58">
        <v>74242617</v>
      </c>
      <c r="C58">
        <v>74242774</v>
      </c>
      <c r="D58">
        <v>35898280</v>
      </c>
      <c r="E58">
        <v>1</v>
      </c>
      <c r="F58">
        <v>1</v>
      </c>
      <c r="G58">
        <v>1</v>
      </c>
      <c r="H58">
        <v>3</v>
      </c>
      <c r="I58" t="s">
        <v>84</v>
      </c>
      <c r="J58" t="s">
        <v>86</v>
      </c>
      <c r="K58" t="s">
        <v>85</v>
      </c>
      <c r="L58">
        <v>1348</v>
      </c>
      <c r="N58">
        <v>1009</v>
      </c>
      <c r="O58" t="s">
        <v>44</v>
      </c>
      <c r="P58" t="s">
        <v>44</v>
      </c>
      <c r="Q58">
        <v>1000</v>
      </c>
      <c r="W58">
        <v>0</v>
      </c>
      <c r="X58">
        <v>2058864970</v>
      </c>
      <c r="Y58">
        <f t="shared" si="9"/>
        <v>4.0300000000000002E-2</v>
      </c>
      <c r="AA58">
        <v>17010</v>
      </c>
      <c r="AB58">
        <v>0</v>
      </c>
      <c r="AC58">
        <v>0</v>
      </c>
      <c r="AD58">
        <v>0</v>
      </c>
      <c r="AE58">
        <v>2352.38</v>
      </c>
      <c r="AF58">
        <v>0</v>
      </c>
      <c r="AG58">
        <v>0</v>
      </c>
      <c r="AH58">
        <v>0</v>
      </c>
      <c r="AI58">
        <v>7.56</v>
      </c>
      <c r="AJ58">
        <v>1</v>
      </c>
      <c r="AK58">
        <v>1</v>
      </c>
      <c r="AL58">
        <v>1</v>
      </c>
      <c r="AM58">
        <v>0</v>
      </c>
      <c r="AN58">
        <v>0</v>
      </c>
      <c r="AO58">
        <v>0</v>
      </c>
      <c r="AP58">
        <v>1</v>
      </c>
      <c r="AQ58">
        <v>0</v>
      </c>
      <c r="AR58">
        <v>0</v>
      </c>
      <c r="AS58" t="s">
        <v>6</v>
      </c>
      <c r="AT58">
        <v>4.0300000000000002E-2</v>
      </c>
      <c r="AU58" t="s">
        <v>6</v>
      </c>
      <c r="AV58">
        <v>0</v>
      </c>
      <c r="AW58">
        <v>2</v>
      </c>
      <c r="AX58">
        <v>74242790</v>
      </c>
      <c r="AY58">
        <v>1</v>
      </c>
      <c r="AZ58">
        <v>16384</v>
      </c>
      <c r="BA58">
        <v>58</v>
      </c>
      <c r="BB58">
        <v>3</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CV58">
        <v>0</v>
      </c>
      <c r="CW58">
        <v>0</v>
      </c>
      <c r="CX58">
        <f>ROUND(Y58*Source!I50,9)</f>
        <v>1.1881649000000001</v>
      </c>
      <c r="CY58">
        <f>AA58</f>
        <v>17010</v>
      </c>
      <c r="CZ58">
        <f>AE58</f>
        <v>2352.38</v>
      </c>
      <c r="DA58">
        <f>AI58</f>
        <v>7.56</v>
      </c>
      <c r="DB58">
        <f t="shared" si="10"/>
        <v>94.8</v>
      </c>
      <c r="DC58">
        <f t="shared" si="11"/>
        <v>0</v>
      </c>
      <c r="DD58" t="s">
        <v>6</v>
      </c>
      <c r="DE58" t="s">
        <v>6</v>
      </c>
      <c r="DF58">
        <f>ROUND(ROUND(AE58*AI58,0)*CX58,0)</f>
        <v>21130</v>
      </c>
      <c r="DG58">
        <f t="shared" si="14"/>
        <v>0</v>
      </c>
      <c r="DH58">
        <f>Source!I50*SmtRes!Y58</f>
        <v>1.1881649000000001</v>
      </c>
      <c r="DI58">
        <f>AA58</f>
        <v>17010</v>
      </c>
      <c r="DJ58">
        <f>EtalonRes!Y58</f>
        <v>4319.75</v>
      </c>
      <c r="DK58">
        <f>Source!BC50</f>
        <v>7.56</v>
      </c>
      <c r="DL58" t="s">
        <v>6</v>
      </c>
      <c r="DM58">
        <v>0</v>
      </c>
      <c r="DN58" t="s">
        <v>6</v>
      </c>
      <c r="DO58">
        <v>0</v>
      </c>
      <c r="GP58">
        <v>1</v>
      </c>
      <c r="GQ58">
        <v>-1</v>
      </c>
      <c r="GR58">
        <v>-1</v>
      </c>
    </row>
    <row r="59" spans="1:200" x14ac:dyDescent="0.2">
      <c r="A59">
        <f>ROW(Source!A50)</f>
        <v>50</v>
      </c>
      <c r="B59">
        <v>74242617</v>
      </c>
      <c r="C59">
        <v>74242774</v>
      </c>
      <c r="D59">
        <v>27371543</v>
      </c>
      <c r="E59">
        <v>1</v>
      </c>
      <c r="F59">
        <v>1</v>
      </c>
      <c r="G59">
        <v>1</v>
      </c>
      <c r="H59">
        <v>3</v>
      </c>
      <c r="I59" t="s">
        <v>31</v>
      </c>
      <c r="J59" t="s">
        <v>34</v>
      </c>
      <c r="K59" t="s">
        <v>32</v>
      </c>
      <c r="L59">
        <v>1346</v>
      </c>
      <c r="N59">
        <v>1009</v>
      </c>
      <c r="O59" t="s">
        <v>33</v>
      </c>
      <c r="P59" t="s">
        <v>33</v>
      </c>
      <c r="Q59">
        <v>1</v>
      </c>
      <c r="W59">
        <v>0</v>
      </c>
      <c r="X59">
        <v>-386994921</v>
      </c>
      <c r="Y59">
        <f t="shared" si="9"/>
        <v>0.1</v>
      </c>
      <c r="AA59">
        <v>31</v>
      </c>
      <c r="AB59">
        <v>0</v>
      </c>
      <c r="AC59">
        <v>0</v>
      </c>
      <c r="AD59">
        <v>0</v>
      </c>
      <c r="AE59">
        <v>4.2799999999999994</v>
      </c>
      <c r="AF59">
        <v>0</v>
      </c>
      <c r="AG59">
        <v>0</v>
      </c>
      <c r="AH59">
        <v>0</v>
      </c>
      <c r="AI59">
        <v>7.56</v>
      </c>
      <c r="AJ59">
        <v>1</v>
      </c>
      <c r="AK59">
        <v>1</v>
      </c>
      <c r="AL59">
        <v>1</v>
      </c>
      <c r="AM59">
        <v>0</v>
      </c>
      <c r="AN59">
        <v>0</v>
      </c>
      <c r="AO59">
        <v>0</v>
      </c>
      <c r="AP59">
        <v>1</v>
      </c>
      <c r="AQ59">
        <v>0</v>
      </c>
      <c r="AR59">
        <v>0</v>
      </c>
      <c r="AS59" t="s">
        <v>6</v>
      </c>
      <c r="AT59">
        <v>0.1</v>
      </c>
      <c r="AU59" t="s">
        <v>6</v>
      </c>
      <c r="AV59">
        <v>0</v>
      </c>
      <c r="AW59">
        <v>2</v>
      </c>
      <c r="AX59">
        <v>74242791</v>
      </c>
      <c r="AY59">
        <v>2</v>
      </c>
      <c r="AZ59">
        <v>16384</v>
      </c>
      <c r="BA59">
        <v>59</v>
      </c>
      <c r="BB59">
        <v>3</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CV59">
        <v>0</v>
      </c>
      <c r="CW59">
        <v>0</v>
      </c>
      <c r="CX59">
        <f>ROUND(Y59*Source!I50,9)</f>
        <v>2.9483000000000001</v>
      </c>
      <c r="CY59">
        <f>AA59</f>
        <v>31</v>
      </c>
      <c r="CZ59">
        <f>AE59</f>
        <v>4.2799999999999994</v>
      </c>
      <c r="DA59">
        <f>AI59</f>
        <v>7.56</v>
      </c>
      <c r="DB59">
        <f t="shared" si="10"/>
        <v>0.43</v>
      </c>
      <c r="DC59">
        <f t="shared" si="11"/>
        <v>0</v>
      </c>
      <c r="DD59" t="s">
        <v>6</v>
      </c>
      <c r="DE59" t="s">
        <v>6</v>
      </c>
      <c r="DF59">
        <f>ROUND(ROUND(AE59*AI59,0)*CX59,0)</f>
        <v>94</v>
      </c>
      <c r="DG59">
        <f t="shared" si="14"/>
        <v>0</v>
      </c>
      <c r="DH59">
        <f>Source!I50*SmtRes!Y59</f>
        <v>2.9483000000000001</v>
      </c>
      <c r="DI59">
        <f>AA59</f>
        <v>31</v>
      </c>
      <c r="DJ59">
        <f>EtalonRes!Y59</f>
        <v>3.19</v>
      </c>
      <c r="DK59">
        <f>Source!BC50</f>
        <v>7.56</v>
      </c>
      <c r="DL59" t="s">
        <v>6</v>
      </c>
      <c r="DM59">
        <v>0</v>
      </c>
      <c r="DN59" t="s">
        <v>6</v>
      </c>
      <c r="DO59">
        <v>0</v>
      </c>
      <c r="GP59">
        <v>1</v>
      </c>
      <c r="GQ59">
        <v>-1</v>
      </c>
      <c r="GR59">
        <v>-1</v>
      </c>
    </row>
    <row r="60" spans="1:200" x14ac:dyDescent="0.2">
      <c r="A60">
        <f>ROW(Source!A50)</f>
        <v>50</v>
      </c>
      <c r="B60">
        <v>74242617</v>
      </c>
      <c r="C60">
        <v>74242774</v>
      </c>
      <c r="D60">
        <v>10825323</v>
      </c>
      <c r="E60">
        <v>1</v>
      </c>
      <c r="F60">
        <v>1</v>
      </c>
      <c r="G60">
        <v>1</v>
      </c>
      <c r="H60">
        <v>3</v>
      </c>
      <c r="I60" t="s">
        <v>73</v>
      </c>
      <c r="J60" t="s">
        <v>76</v>
      </c>
      <c r="K60" t="s">
        <v>74</v>
      </c>
      <c r="L60">
        <v>1339</v>
      </c>
      <c r="N60">
        <v>1007</v>
      </c>
      <c r="O60" t="s">
        <v>75</v>
      </c>
      <c r="P60" t="s">
        <v>75</v>
      </c>
      <c r="Q60">
        <v>1</v>
      </c>
      <c r="W60">
        <v>0</v>
      </c>
      <c r="X60">
        <v>1444665788</v>
      </c>
      <c r="Y60">
        <f t="shared" si="9"/>
        <v>1.7100000000000001E-2</v>
      </c>
      <c r="AA60">
        <v>14.19</v>
      </c>
      <c r="AB60">
        <v>0</v>
      </c>
      <c r="AC60">
        <v>0</v>
      </c>
      <c r="AD60">
        <v>0</v>
      </c>
      <c r="AE60">
        <v>1.97</v>
      </c>
      <c r="AF60">
        <v>0</v>
      </c>
      <c r="AG60">
        <v>0</v>
      </c>
      <c r="AH60">
        <v>0</v>
      </c>
      <c r="AI60">
        <v>7.56</v>
      </c>
      <c r="AJ60">
        <v>1</v>
      </c>
      <c r="AK60">
        <v>1</v>
      </c>
      <c r="AL60">
        <v>1</v>
      </c>
      <c r="AM60">
        <v>0</v>
      </c>
      <c r="AN60">
        <v>0</v>
      </c>
      <c r="AO60">
        <v>0</v>
      </c>
      <c r="AP60">
        <v>1</v>
      </c>
      <c r="AQ60">
        <v>0</v>
      </c>
      <c r="AR60">
        <v>0</v>
      </c>
      <c r="AS60" t="s">
        <v>6</v>
      </c>
      <c r="AT60">
        <v>1.7100000000000001E-2</v>
      </c>
      <c r="AU60" t="s">
        <v>6</v>
      </c>
      <c r="AV60">
        <v>0</v>
      </c>
      <c r="AW60">
        <v>2</v>
      </c>
      <c r="AX60">
        <v>74242792</v>
      </c>
      <c r="AY60">
        <v>1</v>
      </c>
      <c r="AZ60">
        <v>16384</v>
      </c>
      <c r="BA60">
        <v>60</v>
      </c>
      <c r="BB60">
        <v>3</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CV60">
        <v>0</v>
      </c>
      <c r="CW60">
        <v>0</v>
      </c>
      <c r="CX60">
        <f>ROUND(Y60*Source!I50,9)</f>
        <v>0.50415929999999998</v>
      </c>
      <c r="CY60">
        <f>AA60</f>
        <v>14.19</v>
      </c>
      <c r="CZ60">
        <f>AE60</f>
        <v>1.97</v>
      </c>
      <c r="DA60">
        <f>AI60</f>
        <v>7.56</v>
      </c>
      <c r="DB60">
        <f t="shared" si="10"/>
        <v>0.03</v>
      </c>
      <c r="DC60">
        <f t="shared" si="11"/>
        <v>0</v>
      </c>
      <c r="DD60" t="s">
        <v>6</v>
      </c>
      <c r="DE60" t="s">
        <v>6</v>
      </c>
      <c r="DF60">
        <f>ROUND(ROUND(AE60*AI60,0)*CX60,0)</f>
        <v>8</v>
      </c>
      <c r="DG60">
        <f t="shared" si="14"/>
        <v>0</v>
      </c>
      <c r="DH60">
        <f>Source!I50*SmtRes!Y60</f>
        <v>0.50415929999999998</v>
      </c>
      <c r="DI60">
        <f>AA60</f>
        <v>14.19</v>
      </c>
      <c r="DJ60">
        <f>EtalonRes!Y60</f>
        <v>7.14</v>
      </c>
      <c r="DK60">
        <f>Source!BC50</f>
        <v>7.56</v>
      </c>
      <c r="DL60" t="s">
        <v>6</v>
      </c>
      <c r="DM60">
        <v>0</v>
      </c>
      <c r="DN60" t="s">
        <v>6</v>
      </c>
      <c r="DO60">
        <v>0</v>
      </c>
      <c r="GP60">
        <v>1</v>
      </c>
      <c r="GQ60">
        <v>-1</v>
      </c>
      <c r="GR60">
        <v>-1</v>
      </c>
    </row>
    <row r="61" spans="1:200" x14ac:dyDescent="0.2">
      <c r="A61">
        <f>ROW(Source!A59)</f>
        <v>59</v>
      </c>
      <c r="B61">
        <v>74242616</v>
      </c>
      <c r="C61">
        <v>74242797</v>
      </c>
      <c r="D61">
        <v>27834061</v>
      </c>
      <c r="E61">
        <v>1</v>
      </c>
      <c r="F61">
        <v>1</v>
      </c>
      <c r="G61">
        <v>1</v>
      </c>
      <c r="H61">
        <v>1</v>
      </c>
      <c r="I61" t="s">
        <v>259</v>
      </c>
      <c r="J61" t="s">
        <v>6</v>
      </c>
      <c r="K61" t="s">
        <v>260</v>
      </c>
      <c r="L61">
        <v>1369</v>
      </c>
      <c r="N61">
        <v>1013</v>
      </c>
      <c r="O61" t="s">
        <v>249</v>
      </c>
      <c r="P61" t="s">
        <v>249</v>
      </c>
      <c r="Q61">
        <v>1</v>
      </c>
      <c r="W61">
        <v>0</v>
      </c>
      <c r="X61">
        <v>640661137</v>
      </c>
      <c r="Y61">
        <f t="shared" si="9"/>
        <v>1.1000000000000001</v>
      </c>
      <c r="AA61">
        <v>0</v>
      </c>
      <c r="AB61">
        <v>0</v>
      </c>
      <c r="AC61">
        <v>0</v>
      </c>
      <c r="AD61">
        <v>9.6999999999999993</v>
      </c>
      <c r="AE61">
        <v>0</v>
      </c>
      <c r="AF61">
        <v>0</v>
      </c>
      <c r="AG61">
        <v>0</v>
      </c>
      <c r="AH61">
        <v>9.6999999999999993</v>
      </c>
      <c r="AI61">
        <v>1</v>
      </c>
      <c r="AJ61">
        <v>1</v>
      </c>
      <c r="AK61">
        <v>1</v>
      </c>
      <c r="AL61">
        <v>1</v>
      </c>
      <c r="AM61">
        <v>-2</v>
      </c>
      <c r="AN61">
        <v>0</v>
      </c>
      <c r="AO61">
        <v>1</v>
      </c>
      <c r="AP61">
        <v>1</v>
      </c>
      <c r="AQ61">
        <v>0</v>
      </c>
      <c r="AR61">
        <v>0</v>
      </c>
      <c r="AS61" t="s">
        <v>6</v>
      </c>
      <c r="AT61">
        <v>1.1000000000000001</v>
      </c>
      <c r="AU61" t="s">
        <v>6</v>
      </c>
      <c r="AV61">
        <v>1</v>
      </c>
      <c r="AW61">
        <v>2</v>
      </c>
      <c r="AX61">
        <v>74242804</v>
      </c>
      <c r="AY61">
        <v>1</v>
      </c>
      <c r="AZ61">
        <v>0</v>
      </c>
      <c r="BA61">
        <v>61</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CU61">
        <f>ROUND(AT61*Source!I59*AH61*AL61,0)</f>
        <v>219</v>
      </c>
      <c r="CV61">
        <f>ROUND(Y61*Source!I59,9)</f>
        <v>22.559899999999999</v>
      </c>
      <c r="CW61">
        <v>0</v>
      </c>
      <c r="CX61">
        <f>ROUND(Y61*Source!I59,9)</f>
        <v>22.559899999999999</v>
      </c>
      <c r="CY61">
        <f>AD61</f>
        <v>9.6999999999999993</v>
      </c>
      <c r="CZ61">
        <f>AH61</f>
        <v>9.6999999999999993</v>
      </c>
      <c r="DA61">
        <f>AL61</f>
        <v>1</v>
      </c>
      <c r="DB61">
        <f t="shared" si="10"/>
        <v>10.67</v>
      </c>
      <c r="DC61">
        <f t="shared" si="11"/>
        <v>0</v>
      </c>
      <c r="DD61" t="s">
        <v>6</v>
      </c>
      <c r="DE61" t="s">
        <v>6</v>
      </c>
      <c r="DF61">
        <f t="shared" ref="DF61:DF70" si="15">ROUND(ROUND(AE61,0)*CX61,0)</f>
        <v>0</v>
      </c>
      <c r="DG61">
        <f t="shared" si="14"/>
        <v>0</v>
      </c>
      <c r="DH61">
        <f>Source!I59*SmtRes!Y61</f>
        <v>22.559900000000003</v>
      </c>
      <c r="DI61">
        <f>AD61</f>
        <v>9.6999999999999993</v>
      </c>
      <c r="DJ61">
        <f>EtalonRes!AB61</f>
        <v>9.6999999999999993</v>
      </c>
      <c r="DK61">
        <f>Source!BA59</f>
        <v>1</v>
      </c>
      <c r="DL61" t="s">
        <v>6</v>
      </c>
      <c r="DM61">
        <v>0</v>
      </c>
      <c r="DN61" t="s">
        <v>6</v>
      </c>
      <c r="DO61">
        <v>0</v>
      </c>
      <c r="GQ61">
        <v>-1</v>
      </c>
      <c r="GR61">
        <v>-1</v>
      </c>
    </row>
    <row r="62" spans="1:200" x14ac:dyDescent="0.2">
      <c r="A62">
        <f>ROW(Source!A59)</f>
        <v>59</v>
      </c>
      <c r="B62">
        <v>74242616</v>
      </c>
      <c r="C62">
        <v>74242797</v>
      </c>
      <c r="D62">
        <v>121548</v>
      </c>
      <c r="E62">
        <v>1</v>
      </c>
      <c r="F62">
        <v>1</v>
      </c>
      <c r="G62">
        <v>1</v>
      </c>
      <c r="H62">
        <v>1</v>
      </c>
      <c r="I62" t="s">
        <v>40</v>
      </c>
      <c r="J62" t="s">
        <v>6</v>
      </c>
      <c r="K62" t="s">
        <v>250</v>
      </c>
      <c r="L62">
        <v>608254</v>
      </c>
      <c r="N62">
        <v>1013</v>
      </c>
      <c r="O62" t="s">
        <v>251</v>
      </c>
      <c r="P62" t="s">
        <v>251</v>
      </c>
      <c r="Q62">
        <v>1</v>
      </c>
      <c r="W62">
        <v>0</v>
      </c>
      <c r="X62">
        <v>-185737400</v>
      </c>
      <c r="Y62">
        <f t="shared" si="9"/>
        <v>0.01</v>
      </c>
      <c r="AA62">
        <v>0</v>
      </c>
      <c r="AB62">
        <v>0</v>
      </c>
      <c r="AC62">
        <v>0</v>
      </c>
      <c r="AD62">
        <v>0</v>
      </c>
      <c r="AE62">
        <v>0</v>
      </c>
      <c r="AF62">
        <v>0</v>
      </c>
      <c r="AG62">
        <v>0</v>
      </c>
      <c r="AH62">
        <v>0</v>
      </c>
      <c r="AI62">
        <v>1</v>
      </c>
      <c r="AJ62">
        <v>1</v>
      </c>
      <c r="AK62">
        <v>1</v>
      </c>
      <c r="AL62">
        <v>1</v>
      </c>
      <c r="AM62">
        <v>-2</v>
      </c>
      <c r="AN62">
        <v>0</v>
      </c>
      <c r="AO62">
        <v>1</v>
      </c>
      <c r="AP62">
        <v>1</v>
      </c>
      <c r="AQ62">
        <v>0</v>
      </c>
      <c r="AR62">
        <v>0</v>
      </c>
      <c r="AS62" t="s">
        <v>6</v>
      </c>
      <c r="AT62">
        <v>0.01</v>
      </c>
      <c r="AU62" t="s">
        <v>6</v>
      </c>
      <c r="AV62">
        <v>2</v>
      </c>
      <c r="AW62">
        <v>2</v>
      </c>
      <c r="AX62">
        <v>74242805</v>
      </c>
      <c r="AY62">
        <v>1</v>
      </c>
      <c r="AZ62">
        <v>0</v>
      </c>
      <c r="BA62">
        <v>62</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CV62">
        <v>0</v>
      </c>
      <c r="CW62">
        <v>0</v>
      </c>
      <c r="CX62">
        <f>ROUND(Y62*Source!I59,9)</f>
        <v>0.20508999999999999</v>
      </c>
      <c r="CY62">
        <f>AD62</f>
        <v>0</v>
      </c>
      <c r="CZ62">
        <f>AH62</f>
        <v>0</v>
      </c>
      <c r="DA62">
        <f>AL62</f>
        <v>1</v>
      </c>
      <c r="DB62">
        <f t="shared" si="10"/>
        <v>0</v>
      </c>
      <c r="DC62">
        <f t="shared" si="11"/>
        <v>0</v>
      </c>
      <c r="DD62" t="s">
        <v>6</v>
      </c>
      <c r="DE62" t="s">
        <v>6</v>
      </c>
      <c r="DF62">
        <f t="shared" si="15"/>
        <v>0</v>
      </c>
      <c r="DG62">
        <f t="shared" si="14"/>
        <v>0</v>
      </c>
      <c r="DH62">
        <f>Source!I59*SmtRes!Y62</f>
        <v>0.20508999999999999</v>
      </c>
      <c r="DI62">
        <f>AD62</f>
        <v>0</v>
      </c>
      <c r="DJ62">
        <f>EtalonRes!AB62</f>
        <v>0</v>
      </c>
      <c r="DK62">
        <f>Source!BA59</f>
        <v>1</v>
      </c>
      <c r="DL62" t="s">
        <v>6</v>
      </c>
      <c r="DM62">
        <v>0</v>
      </c>
      <c r="DN62" t="s">
        <v>6</v>
      </c>
      <c r="DO62">
        <v>0</v>
      </c>
      <c r="GQ62">
        <v>-1</v>
      </c>
      <c r="GR62">
        <v>-1</v>
      </c>
    </row>
    <row r="63" spans="1:200" x14ac:dyDescent="0.2">
      <c r="A63">
        <f>ROW(Source!A59)</f>
        <v>59</v>
      </c>
      <c r="B63">
        <v>74242616</v>
      </c>
      <c r="C63">
        <v>74242797</v>
      </c>
      <c r="D63">
        <v>27439630</v>
      </c>
      <c r="E63">
        <v>1</v>
      </c>
      <c r="F63">
        <v>1</v>
      </c>
      <c r="G63">
        <v>1</v>
      </c>
      <c r="H63">
        <v>2</v>
      </c>
      <c r="I63" t="s">
        <v>252</v>
      </c>
      <c r="J63" t="s">
        <v>253</v>
      </c>
      <c r="K63" t="s">
        <v>254</v>
      </c>
      <c r="L63">
        <v>1368</v>
      </c>
      <c r="N63">
        <v>1011</v>
      </c>
      <c r="O63" t="s">
        <v>255</v>
      </c>
      <c r="P63" t="s">
        <v>255</v>
      </c>
      <c r="Q63">
        <v>1</v>
      </c>
      <c r="W63">
        <v>0</v>
      </c>
      <c r="X63">
        <v>-72110300</v>
      </c>
      <c r="Y63">
        <f t="shared" si="9"/>
        <v>2E-3</v>
      </c>
      <c r="AA63">
        <v>0</v>
      </c>
      <c r="AB63">
        <v>31.27</v>
      </c>
      <c r="AC63">
        <v>13.61</v>
      </c>
      <c r="AD63">
        <v>0</v>
      </c>
      <c r="AE63">
        <v>0</v>
      </c>
      <c r="AF63">
        <v>31.27</v>
      </c>
      <c r="AG63">
        <v>13.61</v>
      </c>
      <c r="AH63">
        <v>0</v>
      </c>
      <c r="AI63">
        <v>1</v>
      </c>
      <c r="AJ63">
        <v>1</v>
      </c>
      <c r="AK63">
        <v>1</v>
      </c>
      <c r="AL63">
        <v>1</v>
      </c>
      <c r="AM63">
        <v>-2</v>
      </c>
      <c r="AN63">
        <v>0</v>
      </c>
      <c r="AO63">
        <v>1</v>
      </c>
      <c r="AP63">
        <v>1</v>
      </c>
      <c r="AQ63">
        <v>0</v>
      </c>
      <c r="AR63">
        <v>0</v>
      </c>
      <c r="AS63" t="s">
        <v>6</v>
      </c>
      <c r="AT63">
        <v>2E-3</v>
      </c>
      <c r="AU63" t="s">
        <v>6</v>
      </c>
      <c r="AV63">
        <v>0</v>
      </c>
      <c r="AW63">
        <v>2</v>
      </c>
      <c r="AX63">
        <v>74242806</v>
      </c>
      <c r="AY63">
        <v>1</v>
      </c>
      <c r="AZ63">
        <v>0</v>
      </c>
      <c r="BA63">
        <v>63</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0</v>
      </c>
      <c r="BW63">
        <v>0</v>
      </c>
      <c r="CV63">
        <v>0</v>
      </c>
      <c r="CW63">
        <f>ROUND(Y63*Source!I59*DO63,9)</f>
        <v>0</v>
      </c>
      <c r="CX63">
        <f>ROUND(Y63*Source!I59,9)</f>
        <v>4.1017999999999999E-2</v>
      </c>
      <c r="CY63">
        <f>AB63</f>
        <v>31.27</v>
      </c>
      <c r="CZ63">
        <f>AF63</f>
        <v>31.27</v>
      </c>
      <c r="DA63">
        <f>AJ63</f>
        <v>1</v>
      </c>
      <c r="DB63">
        <f t="shared" si="10"/>
        <v>0.06</v>
      </c>
      <c r="DC63">
        <f t="shared" si="11"/>
        <v>0.03</v>
      </c>
      <c r="DD63" t="s">
        <v>6</v>
      </c>
      <c r="DE63" t="s">
        <v>6</v>
      </c>
      <c r="DF63">
        <f t="shared" si="15"/>
        <v>0</v>
      </c>
      <c r="DG63">
        <f t="shared" si="14"/>
        <v>1</v>
      </c>
      <c r="DH63">
        <f>Source!I59*SmtRes!Y63</f>
        <v>4.1017999999999999E-2</v>
      </c>
      <c r="DI63">
        <f>AB63</f>
        <v>31.27</v>
      </c>
      <c r="DJ63">
        <f>EtalonRes!Z63</f>
        <v>31.27</v>
      </c>
      <c r="DK63">
        <f>Source!BB59</f>
        <v>1</v>
      </c>
      <c r="DL63" t="s">
        <v>6</v>
      </c>
      <c r="DM63">
        <v>0</v>
      </c>
      <c r="DN63" t="s">
        <v>6</v>
      </c>
      <c r="DO63">
        <v>0</v>
      </c>
      <c r="GQ63">
        <v>-1</v>
      </c>
      <c r="GR63">
        <v>-1</v>
      </c>
    </row>
    <row r="64" spans="1:200" x14ac:dyDescent="0.2">
      <c r="A64">
        <f>ROW(Source!A59)</f>
        <v>59</v>
      </c>
      <c r="B64">
        <v>74242616</v>
      </c>
      <c r="C64">
        <v>74242797</v>
      </c>
      <c r="D64">
        <v>27441327</v>
      </c>
      <c r="E64">
        <v>1</v>
      </c>
      <c r="F64">
        <v>1</v>
      </c>
      <c r="G64">
        <v>1</v>
      </c>
      <c r="H64">
        <v>2</v>
      </c>
      <c r="I64" t="s">
        <v>256</v>
      </c>
      <c r="J64" t="s">
        <v>257</v>
      </c>
      <c r="K64" t="s">
        <v>258</v>
      </c>
      <c r="L64">
        <v>1368</v>
      </c>
      <c r="N64">
        <v>1011</v>
      </c>
      <c r="O64" t="s">
        <v>255</v>
      </c>
      <c r="P64" t="s">
        <v>255</v>
      </c>
      <c r="Q64">
        <v>1</v>
      </c>
      <c r="W64">
        <v>0</v>
      </c>
      <c r="X64">
        <v>-1583389094</v>
      </c>
      <c r="Y64">
        <f t="shared" si="9"/>
        <v>0.01</v>
      </c>
      <c r="AA64">
        <v>0</v>
      </c>
      <c r="AB64">
        <v>93.37</v>
      </c>
      <c r="AC64">
        <v>11.69</v>
      </c>
      <c r="AD64">
        <v>0</v>
      </c>
      <c r="AE64">
        <v>0</v>
      </c>
      <c r="AF64">
        <v>93.37</v>
      </c>
      <c r="AG64">
        <v>11.69</v>
      </c>
      <c r="AH64">
        <v>0</v>
      </c>
      <c r="AI64">
        <v>1</v>
      </c>
      <c r="AJ64">
        <v>1</v>
      </c>
      <c r="AK64">
        <v>1</v>
      </c>
      <c r="AL64">
        <v>1</v>
      </c>
      <c r="AM64">
        <v>-2</v>
      </c>
      <c r="AN64">
        <v>0</v>
      </c>
      <c r="AO64">
        <v>1</v>
      </c>
      <c r="AP64">
        <v>1</v>
      </c>
      <c r="AQ64">
        <v>0</v>
      </c>
      <c r="AR64">
        <v>0</v>
      </c>
      <c r="AS64" t="s">
        <v>6</v>
      </c>
      <c r="AT64">
        <v>0.01</v>
      </c>
      <c r="AU64" t="s">
        <v>6</v>
      </c>
      <c r="AV64">
        <v>0</v>
      </c>
      <c r="AW64">
        <v>2</v>
      </c>
      <c r="AX64">
        <v>74242807</v>
      </c>
      <c r="AY64">
        <v>1</v>
      </c>
      <c r="AZ64">
        <v>0</v>
      </c>
      <c r="BA64">
        <v>64</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CV64">
        <v>0</v>
      </c>
      <c r="CW64">
        <f>ROUND(Y64*Source!I59*DO64,9)</f>
        <v>0</v>
      </c>
      <c r="CX64">
        <f>ROUND(Y64*Source!I59,9)</f>
        <v>0.20508999999999999</v>
      </c>
      <c r="CY64">
        <f>AB64</f>
        <v>93.37</v>
      </c>
      <c r="CZ64">
        <f>AF64</f>
        <v>93.37</v>
      </c>
      <c r="DA64">
        <f>AJ64</f>
        <v>1</v>
      </c>
      <c r="DB64">
        <f t="shared" si="10"/>
        <v>0.93</v>
      </c>
      <c r="DC64">
        <f t="shared" si="11"/>
        <v>0.12</v>
      </c>
      <c r="DD64" t="s">
        <v>6</v>
      </c>
      <c r="DE64" t="s">
        <v>6</v>
      </c>
      <c r="DF64">
        <f t="shared" si="15"/>
        <v>0</v>
      </c>
      <c r="DG64">
        <f t="shared" si="14"/>
        <v>19</v>
      </c>
      <c r="DH64">
        <f>Source!I59*SmtRes!Y64</f>
        <v>0.20508999999999999</v>
      </c>
      <c r="DI64">
        <f>AB64</f>
        <v>93.37</v>
      </c>
      <c r="DJ64">
        <f>EtalonRes!Z64</f>
        <v>93.37</v>
      </c>
      <c r="DK64">
        <f>Source!BB59</f>
        <v>1</v>
      </c>
      <c r="DL64" t="s">
        <v>6</v>
      </c>
      <c r="DM64">
        <v>0</v>
      </c>
      <c r="DN64" t="s">
        <v>6</v>
      </c>
      <c r="DO64">
        <v>0</v>
      </c>
      <c r="GQ64">
        <v>-1</v>
      </c>
      <c r="GR64">
        <v>-1</v>
      </c>
    </row>
    <row r="65" spans="1:200" x14ac:dyDescent="0.2">
      <c r="A65">
        <f>ROW(Source!A59)</f>
        <v>59</v>
      </c>
      <c r="B65">
        <v>74242616</v>
      </c>
      <c r="C65">
        <v>74242797</v>
      </c>
      <c r="D65">
        <v>27371543</v>
      </c>
      <c r="E65">
        <v>1</v>
      </c>
      <c r="F65">
        <v>1</v>
      </c>
      <c r="G65">
        <v>1</v>
      </c>
      <c r="H65">
        <v>3</v>
      </c>
      <c r="I65" t="s">
        <v>31</v>
      </c>
      <c r="J65" t="s">
        <v>34</v>
      </c>
      <c r="K65" t="s">
        <v>32</v>
      </c>
      <c r="L65">
        <v>1346</v>
      </c>
      <c r="N65">
        <v>1009</v>
      </c>
      <c r="O65" t="s">
        <v>33</v>
      </c>
      <c r="P65" t="s">
        <v>33</v>
      </c>
      <c r="Q65">
        <v>1</v>
      </c>
      <c r="W65">
        <v>0</v>
      </c>
      <c r="X65">
        <v>-386994921</v>
      </c>
      <c r="Y65">
        <f t="shared" ref="Y65:Y96" si="16">AT65</f>
        <v>0.1</v>
      </c>
      <c r="AA65">
        <v>1.82</v>
      </c>
      <c r="AB65">
        <v>0</v>
      </c>
      <c r="AC65">
        <v>0</v>
      </c>
      <c r="AD65">
        <v>0</v>
      </c>
      <c r="AE65">
        <v>1.82</v>
      </c>
      <c r="AF65">
        <v>0</v>
      </c>
      <c r="AG65">
        <v>0</v>
      </c>
      <c r="AH65">
        <v>0</v>
      </c>
      <c r="AI65">
        <v>1</v>
      </c>
      <c r="AJ65">
        <v>1</v>
      </c>
      <c r="AK65">
        <v>1</v>
      </c>
      <c r="AL65">
        <v>1</v>
      </c>
      <c r="AM65">
        <v>0</v>
      </c>
      <c r="AN65">
        <v>0</v>
      </c>
      <c r="AO65">
        <v>0</v>
      </c>
      <c r="AP65">
        <v>1</v>
      </c>
      <c r="AQ65">
        <v>0</v>
      </c>
      <c r="AR65">
        <v>0</v>
      </c>
      <c r="AS65" t="s">
        <v>6</v>
      </c>
      <c r="AT65">
        <v>0.1</v>
      </c>
      <c r="AU65" t="s">
        <v>6</v>
      </c>
      <c r="AV65">
        <v>0</v>
      </c>
      <c r="AW65">
        <v>2</v>
      </c>
      <c r="AX65">
        <v>74242808</v>
      </c>
      <c r="AY65">
        <v>1</v>
      </c>
      <c r="AZ65">
        <v>0</v>
      </c>
      <c r="BA65">
        <v>65</v>
      </c>
      <c r="BB65">
        <v>3</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CV65">
        <v>0</v>
      </c>
      <c r="CW65">
        <v>0</v>
      </c>
      <c r="CX65">
        <f>ROUND(Y65*Source!I59,9)</f>
        <v>2.0508999999999999</v>
      </c>
      <c r="CY65">
        <f>AA65</f>
        <v>1.82</v>
      </c>
      <c r="CZ65">
        <f>AE65</f>
        <v>1.82</v>
      </c>
      <c r="DA65">
        <f>AI65</f>
        <v>1</v>
      </c>
      <c r="DB65">
        <f t="shared" ref="DB65:DB96" si="17">ROUND(ROUND(AT65*CZ65,2),2)</f>
        <v>0.18</v>
      </c>
      <c r="DC65">
        <f t="shared" ref="DC65:DC96" si="18">ROUND(ROUND(AT65*AG65,2),2)</f>
        <v>0</v>
      </c>
      <c r="DD65" t="s">
        <v>6</v>
      </c>
      <c r="DE65" t="s">
        <v>6</v>
      </c>
      <c r="DF65">
        <f t="shared" si="15"/>
        <v>4</v>
      </c>
      <c r="DG65">
        <f t="shared" si="14"/>
        <v>0</v>
      </c>
      <c r="DH65">
        <f>Source!I59*SmtRes!Y65</f>
        <v>2.0508999999999999</v>
      </c>
      <c r="DI65">
        <f>AA65</f>
        <v>1.82</v>
      </c>
      <c r="DJ65">
        <f>EtalonRes!Y65</f>
        <v>1.82</v>
      </c>
      <c r="DK65">
        <f>Source!BC59</f>
        <v>1</v>
      </c>
      <c r="DL65" t="s">
        <v>6</v>
      </c>
      <c r="DM65">
        <v>0</v>
      </c>
      <c r="DN65" t="s">
        <v>6</v>
      </c>
      <c r="DO65">
        <v>0</v>
      </c>
      <c r="GP65">
        <v>1</v>
      </c>
      <c r="GQ65">
        <v>-1</v>
      </c>
      <c r="GR65">
        <v>-1</v>
      </c>
    </row>
    <row r="66" spans="1:200" x14ac:dyDescent="0.2">
      <c r="A66">
        <f>ROW(Source!A59)</f>
        <v>59</v>
      </c>
      <c r="B66">
        <v>74242616</v>
      </c>
      <c r="C66">
        <v>74242797</v>
      </c>
      <c r="D66">
        <v>27373308</v>
      </c>
      <c r="E66">
        <v>1</v>
      </c>
      <c r="F66">
        <v>1</v>
      </c>
      <c r="G66">
        <v>1</v>
      </c>
      <c r="H66">
        <v>3</v>
      </c>
      <c r="I66" t="s">
        <v>42</v>
      </c>
      <c r="J66" t="s">
        <v>45</v>
      </c>
      <c r="K66" t="s">
        <v>55</v>
      </c>
      <c r="L66">
        <v>1348</v>
      </c>
      <c r="N66">
        <v>1009</v>
      </c>
      <c r="O66" t="s">
        <v>44</v>
      </c>
      <c r="P66" t="s">
        <v>44</v>
      </c>
      <c r="Q66">
        <v>1000</v>
      </c>
      <c r="W66">
        <v>0</v>
      </c>
      <c r="X66">
        <v>-1720905458</v>
      </c>
      <c r="Y66">
        <f t="shared" si="16"/>
        <v>1.32E-2</v>
      </c>
      <c r="AA66">
        <v>11293.16</v>
      </c>
      <c r="AB66">
        <v>0</v>
      </c>
      <c r="AC66">
        <v>0</v>
      </c>
      <c r="AD66">
        <v>0</v>
      </c>
      <c r="AE66">
        <v>11293.16</v>
      </c>
      <c r="AF66">
        <v>0</v>
      </c>
      <c r="AG66">
        <v>0</v>
      </c>
      <c r="AH66">
        <v>0</v>
      </c>
      <c r="AI66">
        <v>1</v>
      </c>
      <c r="AJ66">
        <v>1</v>
      </c>
      <c r="AK66">
        <v>1</v>
      </c>
      <c r="AL66">
        <v>1</v>
      </c>
      <c r="AM66">
        <v>0</v>
      </c>
      <c r="AN66">
        <v>0</v>
      </c>
      <c r="AO66">
        <v>0</v>
      </c>
      <c r="AP66">
        <v>1</v>
      </c>
      <c r="AQ66">
        <v>0</v>
      </c>
      <c r="AR66">
        <v>0</v>
      </c>
      <c r="AS66" t="s">
        <v>6</v>
      </c>
      <c r="AT66">
        <v>1.32E-2</v>
      </c>
      <c r="AU66" t="s">
        <v>6</v>
      </c>
      <c r="AV66">
        <v>0</v>
      </c>
      <c r="AW66">
        <v>1</v>
      </c>
      <c r="AX66">
        <v>-1</v>
      </c>
      <c r="AY66">
        <v>0</v>
      </c>
      <c r="AZ66">
        <v>0</v>
      </c>
      <c r="BA66" t="s">
        <v>6</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CV66">
        <v>0</v>
      </c>
      <c r="CW66">
        <v>0</v>
      </c>
      <c r="CX66">
        <f>ROUND(Y66*Source!I59,9)</f>
        <v>0.27071879999999998</v>
      </c>
      <c r="CY66">
        <f>AA66</f>
        <v>11293.16</v>
      </c>
      <c r="CZ66">
        <f>AE66</f>
        <v>11293.16</v>
      </c>
      <c r="DA66">
        <f>AI66</f>
        <v>1</v>
      </c>
      <c r="DB66">
        <f t="shared" si="17"/>
        <v>149.07</v>
      </c>
      <c r="DC66">
        <f t="shared" si="18"/>
        <v>0</v>
      </c>
      <c r="DD66" t="s">
        <v>6</v>
      </c>
      <c r="DE66" t="s">
        <v>6</v>
      </c>
      <c r="DF66">
        <f t="shared" si="15"/>
        <v>3057</v>
      </c>
      <c r="DG66">
        <f t="shared" si="14"/>
        <v>0</v>
      </c>
      <c r="DH66">
        <f>Source!I59*SmtRes!Y66</f>
        <v>0.27071879999999998</v>
      </c>
      <c r="DI66">
        <f>AA66</f>
        <v>11293.16</v>
      </c>
      <c r="DJ66">
        <f>DF66</f>
        <v>3057</v>
      </c>
      <c r="DK66">
        <f>Source!BC59</f>
        <v>1</v>
      </c>
      <c r="DL66" t="s">
        <v>6</v>
      </c>
      <c r="DM66">
        <v>0</v>
      </c>
      <c r="DN66" t="s">
        <v>6</v>
      </c>
      <c r="DO66">
        <v>0</v>
      </c>
      <c r="GP66">
        <v>1</v>
      </c>
      <c r="GQ66">
        <v>-1</v>
      </c>
      <c r="GR66">
        <v>-1</v>
      </c>
    </row>
    <row r="67" spans="1:200" x14ac:dyDescent="0.2">
      <c r="A67">
        <f>ROW(Source!A60)</f>
        <v>60</v>
      </c>
      <c r="B67">
        <v>74242617</v>
      </c>
      <c r="C67">
        <v>74242797</v>
      </c>
      <c r="D67">
        <v>27834061</v>
      </c>
      <c r="E67">
        <v>1</v>
      </c>
      <c r="F67">
        <v>1</v>
      </c>
      <c r="G67">
        <v>1</v>
      </c>
      <c r="H67">
        <v>1</v>
      </c>
      <c r="I67" t="s">
        <v>259</v>
      </c>
      <c r="J67" t="s">
        <v>6</v>
      </c>
      <c r="K67" t="s">
        <v>260</v>
      </c>
      <c r="L67">
        <v>1369</v>
      </c>
      <c r="N67">
        <v>1013</v>
      </c>
      <c r="O67" t="s">
        <v>249</v>
      </c>
      <c r="P67" t="s">
        <v>249</v>
      </c>
      <c r="Q67">
        <v>1</v>
      </c>
      <c r="W67">
        <v>0</v>
      </c>
      <c r="X67">
        <v>640661137</v>
      </c>
      <c r="Y67">
        <f t="shared" si="16"/>
        <v>1.1000000000000001</v>
      </c>
      <c r="AA67">
        <v>0</v>
      </c>
      <c r="AB67">
        <v>0</v>
      </c>
      <c r="AC67">
        <v>0</v>
      </c>
      <c r="AD67">
        <v>370.44</v>
      </c>
      <c r="AE67">
        <v>0</v>
      </c>
      <c r="AF67">
        <v>0</v>
      </c>
      <c r="AG67">
        <v>0</v>
      </c>
      <c r="AH67">
        <v>9.6999999999999993</v>
      </c>
      <c r="AI67">
        <v>1</v>
      </c>
      <c r="AJ67">
        <v>1</v>
      </c>
      <c r="AK67">
        <v>1</v>
      </c>
      <c r="AL67">
        <v>38.19</v>
      </c>
      <c r="AM67">
        <v>5</v>
      </c>
      <c r="AN67">
        <v>0</v>
      </c>
      <c r="AO67">
        <v>1</v>
      </c>
      <c r="AP67">
        <v>1</v>
      </c>
      <c r="AQ67">
        <v>0</v>
      </c>
      <c r="AR67">
        <v>0</v>
      </c>
      <c r="AS67" t="s">
        <v>6</v>
      </c>
      <c r="AT67">
        <v>1.1000000000000001</v>
      </c>
      <c r="AU67" t="s">
        <v>6</v>
      </c>
      <c r="AV67">
        <v>1</v>
      </c>
      <c r="AW67">
        <v>2</v>
      </c>
      <c r="AX67">
        <v>74242804</v>
      </c>
      <c r="AY67">
        <v>1</v>
      </c>
      <c r="AZ67">
        <v>0</v>
      </c>
      <c r="BA67">
        <v>67</v>
      </c>
      <c r="BB67">
        <v>0</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CU67">
        <f>ROUND(AT67*Source!I60*AH67*AL67,0)</f>
        <v>8357</v>
      </c>
      <c r="CV67">
        <f>ROUND(Y67*Source!I60,9)</f>
        <v>22.559899999999999</v>
      </c>
      <c r="CW67">
        <v>0</v>
      </c>
      <c r="CX67">
        <f>ROUND(Y67*Source!I60,9)</f>
        <v>22.559899999999999</v>
      </c>
      <c r="CY67">
        <f>AD67</f>
        <v>370.44</v>
      </c>
      <c r="CZ67">
        <f>AH67</f>
        <v>9.6999999999999993</v>
      </c>
      <c r="DA67">
        <f>AL67</f>
        <v>38.19</v>
      </c>
      <c r="DB67">
        <f t="shared" si="17"/>
        <v>10.67</v>
      </c>
      <c r="DC67">
        <f t="shared" si="18"/>
        <v>0</v>
      </c>
      <c r="DD67" t="s">
        <v>6</v>
      </c>
      <c r="DE67" t="s">
        <v>6</v>
      </c>
      <c r="DF67">
        <f t="shared" si="15"/>
        <v>0</v>
      </c>
      <c r="DG67">
        <f t="shared" si="14"/>
        <v>0</v>
      </c>
      <c r="DH67">
        <f>Source!I60*SmtRes!Y67</f>
        <v>22.559900000000003</v>
      </c>
      <c r="DI67">
        <f>AD67</f>
        <v>370.44</v>
      </c>
      <c r="DJ67">
        <f>EtalonRes!AB67</f>
        <v>9.6999999999999993</v>
      </c>
      <c r="DK67">
        <f>Source!BA60</f>
        <v>38.19</v>
      </c>
      <c r="DL67" t="s">
        <v>6</v>
      </c>
      <c r="DM67">
        <v>0</v>
      </c>
      <c r="DN67" t="s">
        <v>6</v>
      </c>
      <c r="DO67">
        <v>0</v>
      </c>
      <c r="GQ67">
        <v>-1</v>
      </c>
      <c r="GR67">
        <v>-1</v>
      </c>
    </row>
    <row r="68" spans="1:200" x14ac:dyDescent="0.2">
      <c r="A68">
        <f>ROW(Source!A60)</f>
        <v>60</v>
      </c>
      <c r="B68">
        <v>74242617</v>
      </c>
      <c r="C68">
        <v>74242797</v>
      </c>
      <c r="D68">
        <v>121548</v>
      </c>
      <c r="E68">
        <v>1</v>
      </c>
      <c r="F68">
        <v>1</v>
      </c>
      <c r="G68">
        <v>1</v>
      </c>
      <c r="H68">
        <v>1</v>
      </c>
      <c r="I68" t="s">
        <v>40</v>
      </c>
      <c r="J68" t="s">
        <v>6</v>
      </c>
      <c r="K68" t="s">
        <v>250</v>
      </c>
      <c r="L68">
        <v>608254</v>
      </c>
      <c r="N68">
        <v>1013</v>
      </c>
      <c r="O68" t="s">
        <v>251</v>
      </c>
      <c r="P68" t="s">
        <v>251</v>
      </c>
      <c r="Q68">
        <v>1</v>
      </c>
      <c r="W68">
        <v>0</v>
      </c>
      <c r="X68">
        <v>-185737400</v>
      </c>
      <c r="Y68">
        <f t="shared" si="16"/>
        <v>0.01</v>
      </c>
      <c r="AA68">
        <v>0</v>
      </c>
      <c r="AB68">
        <v>0</v>
      </c>
      <c r="AC68">
        <v>0</v>
      </c>
      <c r="AD68">
        <v>0</v>
      </c>
      <c r="AE68">
        <v>0</v>
      </c>
      <c r="AF68">
        <v>0</v>
      </c>
      <c r="AG68">
        <v>0</v>
      </c>
      <c r="AH68">
        <v>0</v>
      </c>
      <c r="AI68">
        <v>1</v>
      </c>
      <c r="AJ68">
        <v>1</v>
      </c>
      <c r="AK68">
        <v>30.1</v>
      </c>
      <c r="AL68">
        <v>1</v>
      </c>
      <c r="AM68">
        <v>5</v>
      </c>
      <c r="AN68">
        <v>0</v>
      </c>
      <c r="AO68">
        <v>1</v>
      </c>
      <c r="AP68">
        <v>1</v>
      </c>
      <c r="AQ68">
        <v>0</v>
      </c>
      <c r="AR68">
        <v>0</v>
      </c>
      <c r="AS68" t="s">
        <v>6</v>
      </c>
      <c r="AT68">
        <v>0.01</v>
      </c>
      <c r="AU68" t="s">
        <v>6</v>
      </c>
      <c r="AV68">
        <v>2</v>
      </c>
      <c r="AW68">
        <v>2</v>
      </c>
      <c r="AX68">
        <v>74242805</v>
      </c>
      <c r="AY68">
        <v>1</v>
      </c>
      <c r="AZ68">
        <v>0</v>
      </c>
      <c r="BA68">
        <v>68</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0</v>
      </c>
      <c r="CV68">
        <v>0</v>
      </c>
      <c r="CW68">
        <v>0</v>
      </c>
      <c r="CX68">
        <f>ROUND(Y68*Source!I60,9)</f>
        <v>0.20508999999999999</v>
      </c>
      <c r="CY68">
        <f>AD68</f>
        <v>0</v>
      </c>
      <c r="CZ68">
        <f>AH68</f>
        <v>0</v>
      </c>
      <c r="DA68">
        <f>AL68</f>
        <v>1</v>
      </c>
      <c r="DB68">
        <f t="shared" si="17"/>
        <v>0</v>
      </c>
      <c r="DC68">
        <f t="shared" si="18"/>
        <v>0</v>
      </c>
      <c r="DD68" t="s">
        <v>6</v>
      </c>
      <c r="DE68" t="s">
        <v>6</v>
      </c>
      <c r="DF68">
        <f t="shared" si="15"/>
        <v>0</v>
      </c>
      <c r="DG68">
        <f t="shared" si="14"/>
        <v>0</v>
      </c>
      <c r="DH68">
        <f>Source!I60*SmtRes!Y68</f>
        <v>0.20508999999999999</v>
      </c>
      <c r="DI68">
        <f>AD68</f>
        <v>0</v>
      </c>
      <c r="DJ68">
        <f>EtalonRes!AB68</f>
        <v>0</v>
      </c>
      <c r="DK68">
        <f>Source!BA60</f>
        <v>38.19</v>
      </c>
      <c r="DL68" t="s">
        <v>6</v>
      </c>
      <c r="DM68">
        <v>0</v>
      </c>
      <c r="DN68" t="s">
        <v>6</v>
      </c>
      <c r="DO68">
        <v>0</v>
      </c>
      <c r="GQ68">
        <v>-1</v>
      </c>
      <c r="GR68">
        <v>-1</v>
      </c>
    </row>
    <row r="69" spans="1:200" x14ac:dyDescent="0.2">
      <c r="A69">
        <f>ROW(Source!A60)</f>
        <v>60</v>
      </c>
      <c r="B69">
        <v>74242617</v>
      </c>
      <c r="C69">
        <v>74242797</v>
      </c>
      <c r="D69">
        <v>27439630</v>
      </c>
      <c r="E69">
        <v>1</v>
      </c>
      <c r="F69">
        <v>1</v>
      </c>
      <c r="G69">
        <v>1</v>
      </c>
      <c r="H69">
        <v>2</v>
      </c>
      <c r="I69" t="s">
        <v>252</v>
      </c>
      <c r="J69" t="s">
        <v>253</v>
      </c>
      <c r="K69" t="s">
        <v>254</v>
      </c>
      <c r="L69">
        <v>1368</v>
      </c>
      <c r="N69">
        <v>1011</v>
      </c>
      <c r="O69" t="s">
        <v>255</v>
      </c>
      <c r="P69" t="s">
        <v>255</v>
      </c>
      <c r="Q69">
        <v>1</v>
      </c>
      <c r="W69">
        <v>0</v>
      </c>
      <c r="X69">
        <v>-72110300</v>
      </c>
      <c r="Y69">
        <f t="shared" si="16"/>
        <v>2E-3</v>
      </c>
      <c r="AA69">
        <v>0</v>
      </c>
      <c r="AB69">
        <v>399.32</v>
      </c>
      <c r="AC69">
        <v>409.66</v>
      </c>
      <c r="AD69">
        <v>0</v>
      </c>
      <c r="AE69">
        <v>0</v>
      </c>
      <c r="AF69">
        <v>31.27</v>
      </c>
      <c r="AG69">
        <v>13.61</v>
      </c>
      <c r="AH69">
        <v>0</v>
      </c>
      <c r="AI69">
        <v>1</v>
      </c>
      <c r="AJ69">
        <v>12.77</v>
      </c>
      <c r="AK69">
        <v>30.1</v>
      </c>
      <c r="AL69">
        <v>1</v>
      </c>
      <c r="AM69">
        <v>5</v>
      </c>
      <c r="AN69">
        <v>0</v>
      </c>
      <c r="AO69">
        <v>1</v>
      </c>
      <c r="AP69">
        <v>1</v>
      </c>
      <c r="AQ69">
        <v>0</v>
      </c>
      <c r="AR69">
        <v>0</v>
      </c>
      <c r="AS69" t="s">
        <v>6</v>
      </c>
      <c r="AT69">
        <v>2E-3</v>
      </c>
      <c r="AU69" t="s">
        <v>6</v>
      </c>
      <c r="AV69">
        <v>0</v>
      </c>
      <c r="AW69">
        <v>2</v>
      </c>
      <c r="AX69">
        <v>74242806</v>
      </c>
      <c r="AY69">
        <v>1</v>
      </c>
      <c r="AZ69">
        <v>0</v>
      </c>
      <c r="BA69">
        <v>69</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CV69">
        <v>0</v>
      </c>
      <c r="CW69">
        <f>ROUND(Y69*Source!I60*DO69,9)</f>
        <v>0</v>
      </c>
      <c r="CX69">
        <f>ROUND(Y69*Source!I60,9)</f>
        <v>4.1017999999999999E-2</v>
      </c>
      <c r="CY69">
        <f>AB69</f>
        <v>399.32</v>
      </c>
      <c r="CZ69">
        <f>AF69</f>
        <v>31.27</v>
      </c>
      <c r="DA69">
        <f>AJ69</f>
        <v>12.77</v>
      </c>
      <c r="DB69">
        <f t="shared" si="17"/>
        <v>0.06</v>
      </c>
      <c r="DC69">
        <f t="shared" si="18"/>
        <v>0.03</v>
      </c>
      <c r="DD69" t="s">
        <v>6</v>
      </c>
      <c r="DE69" t="s">
        <v>6</v>
      </c>
      <c r="DF69">
        <f t="shared" si="15"/>
        <v>0</v>
      </c>
      <c r="DG69">
        <f>ROUND(ROUND(AF69*AJ69,0)*CX69,0)</f>
        <v>16</v>
      </c>
      <c r="DH69">
        <f>Source!I60*SmtRes!Y69</f>
        <v>4.1017999999999999E-2</v>
      </c>
      <c r="DI69">
        <f>AB69</f>
        <v>399.32</v>
      </c>
      <c r="DJ69">
        <f>EtalonRes!Z69</f>
        <v>31.27</v>
      </c>
      <c r="DK69">
        <f>Source!BB60</f>
        <v>12.77</v>
      </c>
      <c r="DL69" t="s">
        <v>6</v>
      </c>
      <c r="DM69">
        <v>0</v>
      </c>
      <c r="DN69" t="s">
        <v>6</v>
      </c>
      <c r="DO69">
        <v>0</v>
      </c>
      <c r="GQ69">
        <v>-1</v>
      </c>
      <c r="GR69">
        <v>-1</v>
      </c>
    </row>
    <row r="70" spans="1:200" x14ac:dyDescent="0.2">
      <c r="A70">
        <f>ROW(Source!A60)</f>
        <v>60</v>
      </c>
      <c r="B70">
        <v>74242617</v>
      </c>
      <c r="C70">
        <v>74242797</v>
      </c>
      <c r="D70">
        <v>27441327</v>
      </c>
      <c r="E70">
        <v>1</v>
      </c>
      <c r="F70">
        <v>1</v>
      </c>
      <c r="G70">
        <v>1</v>
      </c>
      <c r="H70">
        <v>2</v>
      </c>
      <c r="I70" t="s">
        <v>256</v>
      </c>
      <c r="J70" t="s">
        <v>257</v>
      </c>
      <c r="K70" t="s">
        <v>258</v>
      </c>
      <c r="L70">
        <v>1368</v>
      </c>
      <c r="N70">
        <v>1011</v>
      </c>
      <c r="O70" t="s">
        <v>255</v>
      </c>
      <c r="P70" t="s">
        <v>255</v>
      </c>
      <c r="Q70">
        <v>1</v>
      </c>
      <c r="W70">
        <v>0</v>
      </c>
      <c r="X70">
        <v>-1583389094</v>
      </c>
      <c r="Y70">
        <f t="shared" si="16"/>
        <v>0.01</v>
      </c>
      <c r="AA70">
        <v>0</v>
      </c>
      <c r="AB70">
        <v>1192.33</v>
      </c>
      <c r="AC70">
        <v>351.87</v>
      </c>
      <c r="AD70">
        <v>0</v>
      </c>
      <c r="AE70">
        <v>0</v>
      </c>
      <c r="AF70">
        <v>93.37</v>
      </c>
      <c r="AG70">
        <v>11.69</v>
      </c>
      <c r="AH70">
        <v>0</v>
      </c>
      <c r="AI70">
        <v>1</v>
      </c>
      <c r="AJ70">
        <v>12.77</v>
      </c>
      <c r="AK70">
        <v>30.1</v>
      </c>
      <c r="AL70">
        <v>1</v>
      </c>
      <c r="AM70">
        <v>5</v>
      </c>
      <c r="AN70">
        <v>0</v>
      </c>
      <c r="AO70">
        <v>1</v>
      </c>
      <c r="AP70">
        <v>1</v>
      </c>
      <c r="AQ70">
        <v>0</v>
      </c>
      <c r="AR70">
        <v>0</v>
      </c>
      <c r="AS70" t="s">
        <v>6</v>
      </c>
      <c r="AT70">
        <v>0.01</v>
      </c>
      <c r="AU70" t="s">
        <v>6</v>
      </c>
      <c r="AV70">
        <v>0</v>
      </c>
      <c r="AW70">
        <v>2</v>
      </c>
      <c r="AX70">
        <v>74242807</v>
      </c>
      <c r="AY70">
        <v>1</v>
      </c>
      <c r="AZ70">
        <v>0</v>
      </c>
      <c r="BA70">
        <v>70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CV70">
        <v>0</v>
      </c>
      <c r="CW70">
        <f>ROUND(Y70*Source!I60*DO70,9)</f>
        <v>0</v>
      </c>
      <c r="CX70">
        <f>ROUND(Y70*Source!I60,9)</f>
        <v>0.20508999999999999</v>
      </c>
      <c r="CY70">
        <f>AB70</f>
        <v>1192.33</v>
      </c>
      <c r="CZ70">
        <f>AF70</f>
        <v>93.37</v>
      </c>
      <c r="DA70">
        <f>AJ70</f>
        <v>12.77</v>
      </c>
      <c r="DB70">
        <f t="shared" si="17"/>
        <v>0.93</v>
      </c>
      <c r="DC70">
        <f t="shared" si="18"/>
        <v>0.12</v>
      </c>
      <c r="DD70" t="s">
        <v>6</v>
      </c>
      <c r="DE70" t="s">
        <v>6</v>
      </c>
      <c r="DF70">
        <f t="shared" si="15"/>
        <v>0</v>
      </c>
      <c r="DG70">
        <f>ROUND(ROUND(AF70*AJ70,0)*CX70,0)</f>
        <v>244</v>
      </c>
      <c r="DH70">
        <f>Source!I60*SmtRes!Y70</f>
        <v>0.20508999999999999</v>
      </c>
      <c r="DI70">
        <f>AB70</f>
        <v>1192.33</v>
      </c>
      <c r="DJ70">
        <f>EtalonRes!Z70</f>
        <v>93.37</v>
      </c>
      <c r="DK70">
        <f>Source!BB60</f>
        <v>12.77</v>
      </c>
      <c r="DL70" t="s">
        <v>6</v>
      </c>
      <c r="DM70">
        <v>0</v>
      </c>
      <c r="DN70" t="s">
        <v>6</v>
      </c>
      <c r="DO70">
        <v>0</v>
      </c>
      <c r="GQ70">
        <v>-1</v>
      </c>
      <c r="GR70">
        <v>-1</v>
      </c>
    </row>
    <row r="71" spans="1:200" x14ac:dyDescent="0.2">
      <c r="A71">
        <f>ROW(Source!A60)</f>
        <v>60</v>
      </c>
      <c r="B71">
        <v>74242617</v>
      </c>
      <c r="C71">
        <v>74242797</v>
      </c>
      <c r="D71">
        <v>27371543</v>
      </c>
      <c r="E71">
        <v>1</v>
      </c>
      <c r="F71">
        <v>1</v>
      </c>
      <c r="G71">
        <v>1</v>
      </c>
      <c r="H71">
        <v>3</v>
      </c>
      <c r="I71" t="s">
        <v>31</v>
      </c>
      <c r="J71" t="s">
        <v>34</v>
      </c>
      <c r="K71" t="s">
        <v>32</v>
      </c>
      <c r="L71">
        <v>1346</v>
      </c>
      <c r="N71">
        <v>1009</v>
      </c>
      <c r="O71" t="s">
        <v>33</v>
      </c>
      <c r="P71" t="s">
        <v>33</v>
      </c>
      <c r="Q71">
        <v>1</v>
      </c>
      <c r="W71">
        <v>0</v>
      </c>
      <c r="X71">
        <v>-386994921</v>
      </c>
      <c r="Y71">
        <f t="shared" si="16"/>
        <v>0.1</v>
      </c>
      <c r="AA71">
        <v>31</v>
      </c>
      <c r="AB71">
        <v>0</v>
      </c>
      <c r="AC71">
        <v>0</v>
      </c>
      <c r="AD71">
        <v>0</v>
      </c>
      <c r="AE71">
        <v>4.2799999999999994</v>
      </c>
      <c r="AF71">
        <v>0</v>
      </c>
      <c r="AG71">
        <v>0</v>
      </c>
      <c r="AH71">
        <v>0</v>
      </c>
      <c r="AI71">
        <v>7.56</v>
      </c>
      <c r="AJ71">
        <v>1</v>
      </c>
      <c r="AK71">
        <v>1</v>
      </c>
      <c r="AL71">
        <v>1</v>
      </c>
      <c r="AM71">
        <v>0</v>
      </c>
      <c r="AN71">
        <v>0</v>
      </c>
      <c r="AO71">
        <v>0</v>
      </c>
      <c r="AP71">
        <v>1</v>
      </c>
      <c r="AQ71">
        <v>0</v>
      </c>
      <c r="AR71">
        <v>0</v>
      </c>
      <c r="AS71" t="s">
        <v>6</v>
      </c>
      <c r="AT71">
        <v>0.1</v>
      </c>
      <c r="AU71" t="s">
        <v>6</v>
      </c>
      <c r="AV71">
        <v>0</v>
      </c>
      <c r="AW71">
        <v>2</v>
      </c>
      <c r="AX71">
        <v>74242808</v>
      </c>
      <c r="AY71">
        <v>1</v>
      </c>
      <c r="AZ71">
        <v>16384</v>
      </c>
      <c r="BA71">
        <v>71</v>
      </c>
      <c r="BB71">
        <v>3</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CV71">
        <v>0</v>
      </c>
      <c r="CW71">
        <v>0</v>
      </c>
      <c r="CX71">
        <f>ROUND(Y71*Source!I60,9)</f>
        <v>2.0508999999999999</v>
      </c>
      <c r="CY71">
        <f>AA71</f>
        <v>31</v>
      </c>
      <c r="CZ71">
        <f>AE71</f>
        <v>4.2799999999999994</v>
      </c>
      <c r="DA71">
        <f>AI71</f>
        <v>7.56</v>
      </c>
      <c r="DB71">
        <f t="shared" si="17"/>
        <v>0.43</v>
      </c>
      <c r="DC71">
        <f t="shared" si="18"/>
        <v>0</v>
      </c>
      <c r="DD71" t="s">
        <v>6</v>
      </c>
      <c r="DE71" t="s">
        <v>6</v>
      </c>
      <c r="DF71">
        <f>ROUND(ROUND(AE71*AI71,0)*CX71,0)</f>
        <v>66</v>
      </c>
      <c r="DG71">
        <f t="shared" ref="DG71:DG83" si="19">ROUND(ROUND(AF71,0)*CX71,0)</f>
        <v>0</v>
      </c>
      <c r="DH71">
        <f>Source!I60*SmtRes!Y71</f>
        <v>2.0508999999999999</v>
      </c>
      <c r="DI71">
        <f>AA71</f>
        <v>31</v>
      </c>
      <c r="DJ71">
        <f>EtalonRes!Y71</f>
        <v>1.82</v>
      </c>
      <c r="DK71">
        <f>Source!BC60</f>
        <v>7.56</v>
      </c>
      <c r="DL71" t="s">
        <v>6</v>
      </c>
      <c r="DM71">
        <v>0</v>
      </c>
      <c r="DN71" t="s">
        <v>6</v>
      </c>
      <c r="DO71">
        <v>0</v>
      </c>
      <c r="GP71">
        <v>1</v>
      </c>
      <c r="GQ71">
        <v>-1</v>
      </c>
      <c r="GR71">
        <v>-1</v>
      </c>
    </row>
    <row r="72" spans="1:200" x14ac:dyDescent="0.2">
      <c r="A72">
        <f>ROW(Source!A60)</f>
        <v>60</v>
      </c>
      <c r="B72">
        <v>74242617</v>
      </c>
      <c r="C72">
        <v>74242797</v>
      </c>
      <c r="D72">
        <v>27373308</v>
      </c>
      <c r="E72">
        <v>1</v>
      </c>
      <c r="F72">
        <v>1</v>
      </c>
      <c r="G72">
        <v>1</v>
      </c>
      <c r="H72">
        <v>3</v>
      </c>
      <c r="I72" t="s">
        <v>42</v>
      </c>
      <c r="J72" t="s">
        <v>45</v>
      </c>
      <c r="K72" t="s">
        <v>55</v>
      </c>
      <c r="L72">
        <v>1348</v>
      </c>
      <c r="N72">
        <v>1009</v>
      </c>
      <c r="O72" t="s">
        <v>44</v>
      </c>
      <c r="P72" t="s">
        <v>44</v>
      </c>
      <c r="Q72">
        <v>1000</v>
      </c>
      <c r="W72">
        <v>0</v>
      </c>
      <c r="X72">
        <v>-1720905458</v>
      </c>
      <c r="Y72">
        <f t="shared" si="16"/>
        <v>1.32E-2</v>
      </c>
      <c r="AA72">
        <v>40330</v>
      </c>
      <c r="AB72">
        <v>0</v>
      </c>
      <c r="AC72">
        <v>0</v>
      </c>
      <c r="AD72">
        <v>0</v>
      </c>
      <c r="AE72">
        <v>5577.3899999999994</v>
      </c>
      <c r="AF72">
        <v>0</v>
      </c>
      <c r="AG72">
        <v>0</v>
      </c>
      <c r="AH72">
        <v>0</v>
      </c>
      <c r="AI72">
        <v>7.56</v>
      </c>
      <c r="AJ72">
        <v>1</v>
      </c>
      <c r="AK72">
        <v>1</v>
      </c>
      <c r="AL72">
        <v>1</v>
      </c>
      <c r="AM72">
        <v>0</v>
      </c>
      <c r="AN72">
        <v>0</v>
      </c>
      <c r="AO72">
        <v>0</v>
      </c>
      <c r="AP72">
        <v>1</v>
      </c>
      <c r="AQ72">
        <v>0</v>
      </c>
      <c r="AR72">
        <v>0</v>
      </c>
      <c r="AS72" t="s">
        <v>6</v>
      </c>
      <c r="AT72">
        <v>1.32E-2</v>
      </c>
      <c r="AU72" t="s">
        <v>6</v>
      </c>
      <c r="AV72">
        <v>0</v>
      </c>
      <c r="AW72">
        <v>1</v>
      </c>
      <c r="AX72">
        <v>-1</v>
      </c>
      <c r="AY72">
        <v>0</v>
      </c>
      <c r="AZ72">
        <v>0</v>
      </c>
      <c r="BA72" t="s">
        <v>6</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CV72">
        <v>0</v>
      </c>
      <c r="CW72">
        <v>0</v>
      </c>
      <c r="CX72">
        <f>ROUND(Y72*Source!I60,9)</f>
        <v>0.27071879999999998</v>
      </c>
      <c r="CY72">
        <f>AA72</f>
        <v>40330</v>
      </c>
      <c r="CZ72">
        <f>AE72</f>
        <v>5577.3899999999994</v>
      </c>
      <c r="DA72">
        <f>AI72</f>
        <v>7.56</v>
      </c>
      <c r="DB72">
        <f t="shared" si="17"/>
        <v>73.62</v>
      </c>
      <c r="DC72">
        <f t="shared" si="18"/>
        <v>0</v>
      </c>
      <c r="DD72" t="s">
        <v>6</v>
      </c>
      <c r="DE72" t="s">
        <v>6</v>
      </c>
      <c r="DF72">
        <f>ROUND(ROUND(AE72*AI72,0)*CX72,0)</f>
        <v>11415</v>
      </c>
      <c r="DG72">
        <f t="shared" si="19"/>
        <v>0</v>
      </c>
      <c r="DH72">
        <f>Source!I60*SmtRes!Y72</f>
        <v>0.27071879999999998</v>
      </c>
      <c r="DI72">
        <f>AA72</f>
        <v>40330</v>
      </c>
      <c r="DJ72">
        <f>DF72</f>
        <v>11415</v>
      </c>
      <c r="DK72">
        <f>Source!BC60</f>
        <v>7.56</v>
      </c>
      <c r="DL72" t="s">
        <v>6</v>
      </c>
      <c r="DM72">
        <v>0</v>
      </c>
      <c r="DN72" t="s">
        <v>6</v>
      </c>
      <c r="DO72">
        <v>0</v>
      </c>
      <c r="GP72">
        <v>1</v>
      </c>
      <c r="GQ72">
        <v>-1</v>
      </c>
      <c r="GR72">
        <v>-1</v>
      </c>
    </row>
    <row r="73" spans="1:200" x14ac:dyDescent="0.2">
      <c r="A73">
        <f>ROW(Source!A65)</f>
        <v>65</v>
      </c>
      <c r="B73">
        <v>74242616</v>
      </c>
      <c r="C73">
        <v>74242812</v>
      </c>
      <c r="D73">
        <v>5510968</v>
      </c>
      <c r="E73">
        <v>1</v>
      </c>
      <c r="F73">
        <v>1</v>
      </c>
      <c r="G73">
        <v>1</v>
      </c>
      <c r="H73">
        <v>1</v>
      </c>
      <c r="I73" t="s">
        <v>261</v>
      </c>
      <c r="J73" t="s">
        <v>6</v>
      </c>
      <c r="K73" t="s">
        <v>262</v>
      </c>
      <c r="L73">
        <v>1369</v>
      </c>
      <c r="N73">
        <v>1013</v>
      </c>
      <c r="O73" t="s">
        <v>249</v>
      </c>
      <c r="P73" t="s">
        <v>249</v>
      </c>
      <c r="Q73">
        <v>1</v>
      </c>
      <c r="W73">
        <v>0</v>
      </c>
      <c r="X73">
        <v>-1305892198</v>
      </c>
      <c r="Y73">
        <f t="shared" si="16"/>
        <v>14.68</v>
      </c>
      <c r="AA73">
        <v>0</v>
      </c>
      <c r="AB73">
        <v>0</v>
      </c>
      <c r="AC73">
        <v>0</v>
      </c>
      <c r="AD73">
        <v>9.7100000000000009</v>
      </c>
      <c r="AE73">
        <v>0</v>
      </c>
      <c r="AF73">
        <v>0</v>
      </c>
      <c r="AG73">
        <v>0</v>
      </c>
      <c r="AH73">
        <v>9.7100000000000009</v>
      </c>
      <c r="AI73">
        <v>1</v>
      </c>
      <c r="AJ73">
        <v>1</v>
      </c>
      <c r="AK73">
        <v>1</v>
      </c>
      <c r="AL73">
        <v>1</v>
      </c>
      <c r="AM73">
        <v>0</v>
      </c>
      <c r="AN73">
        <v>0</v>
      </c>
      <c r="AO73">
        <v>1</v>
      </c>
      <c r="AP73">
        <v>0</v>
      </c>
      <c r="AQ73">
        <v>0</v>
      </c>
      <c r="AR73">
        <v>0</v>
      </c>
      <c r="AS73" t="s">
        <v>6</v>
      </c>
      <c r="AT73">
        <v>14.68</v>
      </c>
      <c r="AU73" t="s">
        <v>6</v>
      </c>
      <c r="AV73">
        <v>1</v>
      </c>
      <c r="AW73">
        <v>2</v>
      </c>
      <c r="AX73">
        <v>74242822</v>
      </c>
      <c r="AY73">
        <v>1</v>
      </c>
      <c r="AZ73">
        <v>0</v>
      </c>
      <c r="BA73">
        <v>73</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0</v>
      </c>
      <c r="CU73">
        <f>ROUND(AT73*Source!I65*AH73*AL73,0)</f>
        <v>2923</v>
      </c>
      <c r="CV73">
        <f>ROUND(Y73*Source!I65,9)</f>
        <v>301.07211999999998</v>
      </c>
      <c r="CW73">
        <v>0</v>
      </c>
      <c r="CX73">
        <f>ROUND(Y73*Source!I65,9)</f>
        <v>301.07211999999998</v>
      </c>
      <c r="CY73">
        <f>AD73</f>
        <v>9.7100000000000009</v>
      </c>
      <c r="CZ73">
        <f>AH73</f>
        <v>9.7100000000000009</v>
      </c>
      <c r="DA73">
        <f>AL73</f>
        <v>1</v>
      </c>
      <c r="DB73">
        <f t="shared" si="17"/>
        <v>142.54</v>
      </c>
      <c r="DC73">
        <f t="shared" si="18"/>
        <v>0</v>
      </c>
      <c r="DD73" t="s">
        <v>6</v>
      </c>
      <c r="DE73" t="s">
        <v>6</v>
      </c>
      <c r="DF73">
        <f t="shared" ref="DF73:DF86" si="20">ROUND(ROUND(AE73,0)*CX73,0)</f>
        <v>0</v>
      </c>
      <c r="DG73">
        <f t="shared" si="19"/>
        <v>0</v>
      </c>
      <c r="DH73">
        <f>Source!I65*SmtRes!Y73</f>
        <v>301.07211999999998</v>
      </c>
      <c r="DI73">
        <f>AD73</f>
        <v>9.7100000000000009</v>
      </c>
      <c r="DJ73">
        <f>EtalonRes!AB73</f>
        <v>9.7100000000000009</v>
      </c>
      <c r="DK73">
        <f>Source!BA65</f>
        <v>1</v>
      </c>
      <c r="DL73" t="s">
        <v>6</v>
      </c>
      <c r="DM73">
        <v>0</v>
      </c>
      <c r="DN73" t="s">
        <v>6</v>
      </c>
      <c r="DO73">
        <v>0</v>
      </c>
      <c r="GQ73">
        <v>-1</v>
      </c>
      <c r="GR73">
        <v>-1</v>
      </c>
    </row>
    <row r="74" spans="1:200" x14ac:dyDescent="0.2">
      <c r="A74">
        <f>ROW(Source!A65)</f>
        <v>65</v>
      </c>
      <c r="B74">
        <v>74242616</v>
      </c>
      <c r="C74">
        <v>74242812</v>
      </c>
      <c r="D74">
        <v>121548</v>
      </c>
      <c r="E74">
        <v>1</v>
      </c>
      <c r="F74">
        <v>1</v>
      </c>
      <c r="G74">
        <v>1</v>
      </c>
      <c r="H74">
        <v>1</v>
      </c>
      <c r="I74" t="s">
        <v>40</v>
      </c>
      <c r="J74" t="s">
        <v>6</v>
      </c>
      <c r="K74" t="s">
        <v>250</v>
      </c>
      <c r="L74">
        <v>608254</v>
      </c>
      <c r="N74">
        <v>1013</v>
      </c>
      <c r="O74" t="s">
        <v>251</v>
      </c>
      <c r="P74" t="s">
        <v>251</v>
      </c>
      <c r="Q74">
        <v>1</v>
      </c>
      <c r="W74">
        <v>0</v>
      </c>
      <c r="X74">
        <v>-185737400</v>
      </c>
      <c r="Y74">
        <f t="shared" si="16"/>
        <v>0.08</v>
      </c>
      <c r="AA74">
        <v>0</v>
      </c>
      <c r="AB74">
        <v>0</v>
      </c>
      <c r="AC74">
        <v>0</v>
      </c>
      <c r="AD74">
        <v>0</v>
      </c>
      <c r="AE74">
        <v>0</v>
      </c>
      <c r="AF74">
        <v>0</v>
      </c>
      <c r="AG74">
        <v>0</v>
      </c>
      <c r="AH74">
        <v>0</v>
      </c>
      <c r="AI74">
        <v>1</v>
      </c>
      <c r="AJ74">
        <v>1</v>
      </c>
      <c r="AK74">
        <v>1</v>
      </c>
      <c r="AL74">
        <v>1</v>
      </c>
      <c r="AM74">
        <v>0</v>
      </c>
      <c r="AN74">
        <v>0</v>
      </c>
      <c r="AO74">
        <v>1</v>
      </c>
      <c r="AP74">
        <v>0</v>
      </c>
      <c r="AQ74">
        <v>0</v>
      </c>
      <c r="AR74">
        <v>0</v>
      </c>
      <c r="AS74" t="s">
        <v>6</v>
      </c>
      <c r="AT74">
        <v>0.08</v>
      </c>
      <c r="AU74" t="s">
        <v>6</v>
      </c>
      <c r="AV74">
        <v>2</v>
      </c>
      <c r="AW74">
        <v>2</v>
      </c>
      <c r="AX74">
        <v>74242823</v>
      </c>
      <c r="AY74">
        <v>1</v>
      </c>
      <c r="AZ74">
        <v>0</v>
      </c>
      <c r="BA74">
        <v>74</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CV74">
        <v>0</v>
      </c>
      <c r="CW74">
        <v>0</v>
      </c>
      <c r="CX74">
        <f>ROUND(Y74*Source!I65,9)</f>
        <v>1.64072</v>
      </c>
      <c r="CY74">
        <f>AD74</f>
        <v>0</v>
      </c>
      <c r="CZ74">
        <f>AH74</f>
        <v>0</v>
      </c>
      <c r="DA74">
        <f>AL74</f>
        <v>1</v>
      </c>
      <c r="DB74">
        <f t="shared" si="17"/>
        <v>0</v>
      </c>
      <c r="DC74">
        <f t="shared" si="18"/>
        <v>0</v>
      </c>
      <c r="DD74" t="s">
        <v>6</v>
      </c>
      <c r="DE74" t="s">
        <v>6</v>
      </c>
      <c r="DF74">
        <f t="shared" si="20"/>
        <v>0</v>
      </c>
      <c r="DG74">
        <f t="shared" si="19"/>
        <v>0</v>
      </c>
      <c r="DH74">
        <f>Source!I65*SmtRes!Y74</f>
        <v>1.64072</v>
      </c>
      <c r="DI74">
        <f>AD74</f>
        <v>0</v>
      </c>
      <c r="DJ74">
        <f>EtalonRes!AB74</f>
        <v>0</v>
      </c>
      <c r="DK74">
        <f>Source!BA65</f>
        <v>1</v>
      </c>
      <c r="DL74" t="s">
        <v>6</v>
      </c>
      <c r="DM74">
        <v>0</v>
      </c>
      <c r="DN74" t="s">
        <v>6</v>
      </c>
      <c r="DO74">
        <v>0</v>
      </c>
      <c r="GQ74">
        <v>-1</v>
      </c>
      <c r="GR74">
        <v>-1</v>
      </c>
    </row>
    <row r="75" spans="1:200" x14ac:dyDescent="0.2">
      <c r="A75">
        <f>ROW(Source!A65)</f>
        <v>65</v>
      </c>
      <c r="B75">
        <v>74242616</v>
      </c>
      <c r="C75">
        <v>74242812</v>
      </c>
      <c r="D75">
        <v>10844859</v>
      </c>
      <c r="E75">
        <v>1</v>
      </c>
      <c r="F75">
        <v>1</v>
      </c>
      <c r="G75">
        <v>1</v>
      </c>
      <c r="H75">
        <v>2</v>
      </c>
      <c r="I75" t="s">
        <v>263</v>
      </c>
      <c r="J75" t="s">
        <v>264</v>
      </c>
      <c r="K75" t="s">
        <v>265</v>
      </c>
      <c r="L75">
        <v>1480</v>
      </c>
      <c r="N75">
        <v>1013</v>
      </c>
      <c r="O75" t="s">
        <v>266</v>
      </c>
      <c r="P75" t="s">
        <v>267</v>
      </c>
      <c r="Q75">
        <v>1</v>
      </c>
      <c r="W75">
        <v>0</v>
      </c>
      <c r="X75">
        <v>1241890182</v>
      </c>
      <c r="Y75">
        <f t="shared" si="16"/>
        <v>0.02</v>
      </c>
      <c r="AA75">
        <v>0</v>
      </c>
      <c r="AB75">
        <v>55.14</v>
      </c>
      <c r="AC75">
        <v>13.02</v>
      </c>
      <c r="AD75">
        <v>0</v>
      </c>
      <c r="AE75">
        <v>0</v>
      </c>
      <c r="AF75">
        <v>55.14</v>
      </c>
      <c r="AG75">
        <v>13.02</v>
      </c>
      <c r="AH75">
        <v>0</v>
      </c>
      <c r="AI75">
        <v>1</v>
      </c>
      <c r="AJ75">
        <v>1</v>
      </c>
      <c r="AK75">
        <v>1</v>
      </c>
      <c r="AL75">
        <v>1</v>
      </c>
      <c r="AM75">
        <v>0</v>
      </c>
      <c r="AN75">
        <v>0</v>
      </c>
      <c r="AO75">
        <v>1</v>
      </c>
      <c r="AP75">
        <v>0</v>
      </c>
      <c r="AQ75">
        <v>0</v>
      </c>
      <c r="AR75">
        <v>0</v>
      </c>
      <c r="AS75" t="s">
        <v>6</v>
      </c>
      <c r="AT75">
        <v>0.02</v>
      </c>
      <c r="AU75" t="s">
        <v>6</v>
      </c>
      <c r="AV75">
        <v>0</v>
      </c>
      <c r="AW75">
        <v>2</v>
      </c>
      <c r="AX75">
        <v>74242824</v>
      </c>
      <c r="AY75">
        <v>1</v>
      </c>
      <c r="AZ75">
        <v>0</v>
      </c>
      <c r="BA75">
        <v>75</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CV75">
        <v>0</v>
      </c>
      <c r="CW75">
        <f>ROUND(Y75*Source!I65*DO75,9)</f>
        <v>0</v>
      </c>
      <c r="CX75">
        <f>ROUND(Y75*Source!I65,9)</f>
        <v>0.41017999999999999</v>
      </c>
      <c r="CY75">
        <f>AB75</f>
        <v>55.14</v>
      </c>
      <c r="CZ75">
        <f>AF75</f>
        <v>55.14</v>
      </c>
      <c r="DA75">
        <f>AJ75</f>
        <v>1</v>
      </c>
      <c r="DB75">
        <f t="shared" si="17"/>
        <v>1.1000000000000001</v>
      </c>
      <c r="DC75">
        <f t="shared" si="18"/>
        <v>0.26</v>
      </c>
      <c r="DD75" t="s">
        <v>6</v>
      </c>
      <c r="DE75" t="s">
        <v>6</v>
      </c>
      <c r="DF75">
        <f t="shared" si="20"/>
        <v>0</v>
      </c>
      <c r="DG75">
        <f t="shared" si="19"/>
        <v>23</v>
      </c>
      <c r="DH75">
        <f>Source!I65*SmtRes!Y75</f>
        <v>0.41017999999999999</v>
      </c>
      <c r="DI75">
        <f>AB75</f>
        <v>55.14</v>
      </c>
      <c r="DJ75">
        <f>EtalonRes!Z75</f>
        <v>55.14</v>
      </c>
      <c r="DK75">
        <f>Source!BB65</f>
        <v>1</v>
      </c>
      <c r="DL75" t="s">
        <v>6</v>
      </c>
      <c r="DM75">
        <v>0</v>
      </c>
      <c r="DN75" t="s">
        <v>6</v>
      </c>
      <c r="DO75">
        <v>0</v>
      </c>
      <c r="GQ75">
        <v>-1</v>
      </c>
      <c r="GR75">
        <v>-1</v>
      </c>
    </row>
    <row r="76" spans="1:200" x14ac:dyDescent="0.2">
      <c r="A76">
        <f>ROW(Source!A65)</f>
        <v>65</v>
      </c>
      <c r="B76">
        <v>74242616</v>
      </c>
      <c r="C76">
        <v>74242812</v>
      </c>
      <c r="D76">
        <v>35898338</v>
      </c>
      <c r="E76">
        <v>1</v>
      </c>
      <c r="F76">
        <v>1</v>
      </c>
      <c r="G76">
        <v>1</v>
      </c>
      <c r="H76">
        <v>2</v>
      </c>
      <c r="I76" t="s">
        <v>268</v>
      </c>
      <c r="J76" t="s">
        <v>269</v>
      </c>
      <c r="K76" t="s">
        <v>270</v>
      </c>
      <c r="L76">
        <v>1480</v>
      </c>
      <c r="N76">
        <v>1013</v>
      </c>
      <c r="O76" t="s">
        <v>266</v>
      </c>
      <c r="P76" t="s">
        <v>267</v>
      </c>
      <c r="Q76">
        <v>1</v>
      </c>
      <c r="W76">
        <v>0</v>
      </c>
      <c r="X76">
        <v>-2101324190</v>
      </c>
      <c r="Y76">
        <f t="shared" si="16"/>
        <v>0.92</v>
      </c>
      <c r="AA76">
        <v>0</v>
      </c>
      <c r="AB76">
        <v>2.0699999999999998</v>
      </c>
      <c r="AC76">
        <v>0</v>
      </c>
      <c r="AD76">
        <v>0</v>
      </c>
      <c r="AE76">
        <v>0</v>
      </c>
      <c r="AF76">
        <v>2.0699999999999998</v>
      </c>
      <c r="AG76">
        <v>0</v>
      </c>
      <c r="AH76">
        <v>0</v>
      </c>
      <c r="AI76">
        <v>1</v>
      </c>
      <c r="AJ76">
        <v>1</v>
      </c>
      <c r="AK76">
        <v>1</v>
      </c>
      <c r="AL76">
        <v>1</v>
      </c>
      <c r="AM76">
        <v>0</v>
      </c>
      <c r="AN76">
        <v>0</v>
      </c>
      <c r="AO76">
        <v>1</v>
      </c>
      <c r="AP76">
        <v>0</v>
      </c>
      <c r="AQ76">
        <v>0</v>
      </c>
      <c r="AR76">
        <v>0</v>
      </c>
      <c r="AS76" t="s">
        <v>6</v>
      </c>
      <c r="AT76">
        <v>0.92</v>
      </c>
      <c r="AU76" t="s">
        <v>6</v>
      </c>
      <c r="AV76">
        <v>0</v>
      </c>
      <c r="AW76">
        <v>2</v>
      </c>
      <c r="AX76">
        <v>74242825</v>
      </c>
      <c r="AY76">
        <v>1</v>
      </c>
      <c r="AZ76">
        <v>0</v>
      </c>
      <c r="BA76">
        <v>76</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CV76">
        <v>0</v>
      </c>
      <c r="CW76">
        <f>ROUND(Y76*Source!I65*DO76,9)</f>
        <v>0</v>
      </c>
      <c r="CX76">
        <f>ROUND(Y76*Source!I65,9)</f>
        <v>18.868279999999999</v>
      </c>
      <c r="CY76">
        <f>AB76</f>
        <v>2.0699999999999998</v>
      </c>
      <c r="CZ76">
        <f>AF76</f>
        <v>2.0699999999999998</v>
      </c>
      <c r="DA76">
        <f>AJ76</f>
        <v>1</v>
      </c>
      <c r="DB76">
        <f t="shared" si="17"/>
        <v>1.9</v>
      </c>
      <c r="DC76">
        <f t="shared" si="18"/>
        <v>0</v>
      </c>
      <c r="DD76" t="s">
        <v>6</v>
      </c>
      <c r="DE76" t="s">
        <v>6</v>
      </c>
      <c r="DF76">
        <f t="shared" si="20"/>
        <v>0</v>
      </c>
      <c r="DG76">
        <f t="shared" si="19"/>
        <v>38</v>
      </c>
      <c r="DH76">
        <f>Source!I65*SmtRes!Y76</f>
        <v>18.868280000000002</v>
      </c>
      <c r="DI76">
        <f>AB76</f>
        <v>2.0699999999999998</v>
      </c>
      <c r="DJ76">
        <f>EtalonRes!Z76</f>
        <v>2.0699999999999998</v>
      </c>
      <c r="DK76">
        <f>Source!BB65</f>
        <v>1</v>
      </c>
      <c r="DL76" t="s">
        <v>6</v>
      </c>
      <c r="DM76">
        <v>0</v>
      </c>
      <c r="DN76" t="s">
        <v>6</v>
      </c>
      <c r="DO76">
        <v>0</v>
      </c>
      <c r="GQ76">
        <v>-1</v>
      </c>
      <c r="GR76">
        <v>-1</v>
      </c>
    </row>
    <row r="77" spans="1:200" x14ac:dyDescent="0.2">
      <c r="A77">
        <f>ROW(Source!A65)</f>
        <v>65</v>
      </c>
      <c r="B77">
        <v>74242616</v>
      </c>
      <c r="C77">
        <v>74242812</v>
      </c>
      <c r="D77">
        <v>10843192</v>
      </c>
      <c r="E77">
        <v>1</v>
      </c>
      <c r="F77">
        <v>1</v>
      </c>
      <c r="G77">
        <v>1</v>
      </c>
      <c r="H77">
        <v>2</v>
      </c>
      <c r="I77" t="s">
        <v>256</v>
      </c>
      <c r="J77" t="s">
        <v>271</v>
      </c>
      <c r="K77" t="s">
        <v>272</v>
      </c>
      <c r="L77">
        <v>1480</v>
      </c>
      <c r="N77">
        <v>1013</v>
      </c>
      <c r="O77" t="s">
        <v>266</v>
      </c>
      <c r="P77" t="s">
        <v>267</v>
      </c>
      <c r="Q77">
        <v>1</v>
      </c>
      <c r="W77">
        <v>0</v>
      </c>
      <c r="X77">
        <v>-1592911513</v>
      </c>
      <c r="Y77">
        <f t="shared" si="16"/>
        <v>0.06</v>
      </c>
      <c r="AA77">
        <v>0</v>
      </c>
      <c r="AB77">
        <v>85.94</v>
      </c>
      <c r="AC77">
        <v>0</v>
      </c>
      <c r="AD77">
        <v>0</v>
      </c>
      <c r="AE77">
        <v>0</v>
      </c>
      <c r="AF77">
        <v>85.94</v>
      </c>
      <c r="AG77">
        <v>0</v>
      </c>
      <c r="AH77">
        <v>0</v>
      </c>
      <c r="AI77">
        <v>1</v>
      </c>
      <c r="AJ77">
        <v>1</v>
      </c>
      <c r="AK77">
        <v>1</v>
      </c>
      <c r="AL77">
        <v>1</v>
      </c>
      <c r="AM77">
        <v>0</v>
      </c>
      <c r="AN77">
        <v>0</v>
      </c>
      <c r="AO77">
        <v>1</v>
      </c>
      <c r="AP77">
        <v>0</v>
      </c>
      <c r="AQ77">
        <v>0</v>
      </c>
      <c r="AR77">
        <v>0</v>
      </c>
      <c r="AS77" t="s">
        <v>6</v>
      </c>
      <c r="AT77">
        <v>0.06</v>
      </c>
      <c r="AU77" t="s">
        <v>6</v>
      </c>
      <c r="AV77">
        <v>0</v>
      </c>
      <c r="AW77">
        <v>2</v>
      </c>
      <c r="AX77">
        <v>74242826</v>
      </c>
      <c r="AY77">
        <v>1</v>
      </c>
      <c r="AZ77">
        <v>0</v>
      </c>
      <c r="BA77">
        <v>77</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CV77">
        <v>0</v>
      </c>
      <c r="CW77">
        <f>ROUND(Y77*Source!I65*DO77,9)</f>
        <v>0</v>
      </c>
      <c r="CX77">
        <f>ROUND(Y77*Source!I65,9)</f>
        <v>1.23054</v>
      </c>
      <c r="CY77">
        <f>AB77</f>
        <v>85.94</v>
      </c>
      <c r="CZ77">
        <f>AF77</f>
        <v>85.94</v>
      </c>
      <c r="DA77">
        <f>AJ77</f>
        <v>1</v>
      </c>
      <c r="DB77">
        <f t="shared" si="17"/>
        <v>5.16</v>
      </c>
      <c r="DC77">
        <f t="shared" si="18"/>
        <v>0</v>
      </c>
      <c r="DD77" t="s">
        <v>6</v>
      </c>
      <c r="DE77" t="s">
        <v>6</v>
      </c>
      <c r="DF77">
        <f t="shared" si="20"/>
        <v>0</v>
      </c>
      <c r="DG77">
        <f t="shared" si="19"/>
        <v>106</v>
      </c>
      <c r="DH77">
        <f>Source!I65*SmtRes!Y77</f>
        <v>1.23054</v>
      </c>
      <c r="DI77">
        <f>AB77</f>
        <v>85.94</v>
      </c>
      <c r="DJ77">
        <f>EtalonRes!Z77</f>
        <v>85.94</v>
      </c>
      <c r="DK77">
        <f>Source!BB65</f>
        <v>1</v>
      </c>
      <c r="DL77" t="s">
        <v>6</v>
      </c>
      <c r="DM77">
        <v>0</v>
      </c>
      <c r="DN77" t="s">
        <v>6</v>
      </c>
      <c r="DO77">
        <v>0</v>
      </c>
      <c r="GQ77">
        <v>-1</v>
      </c>
      <c r="GR77">
        <v>-1</v>
      </c>
    </row>
    <row r="78" spans="1:200" x14ac:dyDescent="0.2">
      <c r="A78">
        <f>ROW(Source!A65)</f>
        <v>65</v>
      </c>
      <c r="B78">
        <v>74242616</v>
      </c>
      <c r="C78">
        <v>74242812</v>
      </c>
      <c r="D78">
        <v>10841946</v>
      </c>
      <c r="E78">
        <v>1</v>
      </c>
      <c r="F78">
        <v>1</v>
      </c>
      <c r="G78">
        <v>1</v>
      </c>
      <c r="H78">
        <v>3</v>
      </c>
      <c r="I78" t="s">
        <v>61</v>
      </c>
      <c r="J78" t="s">
        <v>64</v>
      </c>
      <c r="K78" t="s">
        <v>62</v>
      </c>
      <c r="L78">
        <v>1327</v>
      </c>
      <c r="N78">
        <v>1005</v>
      </c>
      <c r="O78" t="s">
        <v>63</v>
      </c>
      <c r="P78" t="s">
        <v>63</v>
      </c>
      <c r="Q78">
        <v>1</v>
      </c>
      <c r="W78">
        <v>0</v>
      </c>
      <c r="X78">
        <v>-1540695423</v>
      </c>
      <c r="Y78">
        <f t="shared" si="16"/>
        <v>1.2E-2</v>
      </c>
      <c r="AA78">
        <v>57.14</v>
      </c>
      <c r="AB78">
        <v>0</v>
      </c>
      <c r="AC78">
        <v>0</v>
      </c>
      <c r="AD78">
        <v>0</v>
      </c>
      <c r="AE78">
        <v>57.14</v>
      </c>
      <c r="AF78">
        <v>0</v>
      </c>
      <c r="AG78">
        <v>0</v>
      </c>
      <c r="AH78">
        <v>0</v>
      </c>
      <c r="AI78">
        <v>1</v>
      </c>
      <c r="AJ78">
        <v>1</v>
      </c>
      <c r="AK78">
        <v>1</v>
      </c>
      <c r="AL78">
        <v>1</v>
      </c>
      <c r="AM78">
        <v>0</v>
      </c>
      <c r="AN78">
        <v>0</v>
      </c>
      <c r="AO78">
        <v>0</v>
      </c>
      <c r="AP78">
        <v>1</v>
      </c>
      <c r="AQ78">
        <v>0</v>
      </c>
      <c r="AR78">
        <v>0</v>
      </c>
      <c r="AS78" t="s">
        <v>6</v>
      </c>
      <c r="AT78">
        <v>1.2E-2</v>
      </c>
      <c r="AU78" t="s">
        <v>6</v>
      </c>
      <c r="AV78">
        <v>0</v>
      </c>
      <c r="AW78">
        <v>2</v>
      </c>
      <c r="AX78">
        <v>74242827</v>
      </c>
      <c r="AY78">
        <v>1</v>
      </c>
      <c r="AZ78">
        <v>0</v>
      </c>
      <c r="BA78">
        <v>78</v>
      </c>
      <c r="BB78">
        <v>3</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CV78">
        <v>0</v>
      </c>
      <c r="CW78">
        <v>0</v>
      </c>
      <c r="CX78">
        <f>ROUND(Y78*Source!I65,9)</f>
        <v>0.24610799999999999</v>
      </c>
      <c r="CY78">
        <f>AA78</f>
        <v>57.14</v>
      </c>
      <c r="CZ78">
        <f>AE78</f>
        <v>57.14</v>
      </c>
      <c r="DA78">
        <f>AI78</f>
        <v>1</v>
      </c>
      <c r="DB78">
        <f t="shared" si="17"/>
        <v>0.69</v>
      </c>
      <c r="DC78">
        <f t="shared" si="18"/>
        <v>0</v>
      </c>
      <c r="DD78" t="s">
        <v>6</v>
      </c>
      <c r="DE78" t="s">
        <v>6</v>
      </c>
      <c r="DF78">
        <f t="shared" si="20"/>
        <v>14</v>
      </c>
      <c r="DG78">
        <f t="shared" si="19"/>
        <v>0</v>
      </c>
      <c r="DH78">
        <f>Source!I65*SmtRes!Y78</f>
        <v>0.24610800000000002</v>
      </c>
      <c r="DI78">
        <f>AA78</f>
        <v>57.14</v>
      </c>
      <c r="DJ78">
        <f>EtalonRes!Y78</f>
        <v>57.14</v>
      </c>
      <c r="DK78">
        <f>Source!BC65</f>
        <v>1</v>
      </c>
      <c r="DL78" t="s">
        <v>6</v>
      </c>
      <c r="DM78">
        <v>0</v>
      </c>
      <c r="DN78" t="s">
        <v>6</v>
      </c>
      <c r="DO78">
        <v>0</v>
      </c>
      <c r="GP78">
        <v>1</v>
      </c>
      <c r="GQ78">
        <v>-1</v>
      </c>
      <c r="GR78">
        <v>-1</v>
      </c>
    </row>
    <row r="79" spans="1:200" x14ac:dyDescent="0.2">
      <c r="A79">
        <f>ROW(Source!A65)</f>
        <v>65</v>
      </c>
      <c r="B79">
        <v>74242616</v>
      </c>
      <c r="C79">
        <v>74242812</v>
      </c>
      <c r="D79">
        <v>35898280</v>
      </c>
      <c r="E79">
        <v>1</v>
      </c>
      <c r="F79">
        <v>1</v>
      </c>
      <c r="G79">
        <v>1</v>
      </c>
      <c r="H79">
        <v>3</v>
      </c>
      <c r="I79" t="s">
        <v>84</v>
      </c>
      <c r="J79" t="s">
        <v>86</v>
      </c>
      <c r="K79" t="s">
        <v>85</v>
      </c>
      <c r="L79">
        <v>1348</v>
      </c>
      <c r="N79">
        <v>1009</v>
      </c>
      <c r="O79" t="s">
        <v>44</v>
      </c>
      <c r="P79" t="s">
        <v>44</v>
      </c>
      <c r="Q79">
        <v>1000</v>
      </c>
      <c r="W79">
        <v>0</v>
      </c>
      <c r="X79">
        <v>2058864970</v>
      </c>
      <c r="Y79">
        <f t="shared" si="16"/>
        <v>4.0300000000000002E-2</v>
      </c>
      <c r="AA79">
        <v>4319.75</v>
      </c>
      <c r="AB79">
        <v>0</v>
      </c>
      <c r="AC79">
        <v>0</v>
      </c>
      <c r="AD79">
        <v>0</v>
      </c>
      <c r="AE79">
        <v>4319.75</v>
      </c>
      <c r="AF79">
        <v>0</v>
      </c>
      <c r="AG79">
        <v>0</v>
      </c>
      <c r="AH79">
        <v>0</v>
      </c>
      <c r="AI79">
        <v>1</v>
      </c>
      <c r="AJ79">
        <v>1</v>
      </c>
      <c r="AK79">
        <v>1</v>
      </c>
      <c r="AL79">
        <v>1</v>
      </c>
      <c r="AM79">
        <v>0</v>
      </c>
      <c r="AN79">
        <v>0</v>
      </c>
      <c r="AO79">
        <v>0</v>
      </c>
      <c r="AP79">
        <v>1</v>
      </c>
      <c r="AQ79">
        <v>0</v>
      </c>
      <c r="AR79">
        <v>0</v>
      </c>
      <c r="AS79" t="s">
        <v>6</v>
      </c>
      <c r="AT79">
        <v>4.0300000000000002E-2</v>
      </c>
      <c r="AU79" t="s">
        <v>6</v>
      </c>
      <c r="AV79">
        <v>0</v>
      </c>
      <c r="AW79">
        <v>2</v>
      </c>
      <c r="AX79">
        <v>74242828</v>
      </c>
      <c r="AY79">
        <v>1</v>
      </c>
      <c r="AZ79">
        <v>0</v>
      </c>
      <c r="BA79">
        <v>79</v>
      </c>
      <c r="BB79">
        <v>3</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CV79">
        <v>0</v>
      </c>
      <c r="CW79">
        <v>0</v>
      </c>
      <c r="CX79">
        <f>ROUND(Y79*Source!I65,9)</f>
        <v>0.82651269999999999</v>
      </c>
      <c r="CY79">
        <f>AA79</f>
        <v>4319.75</v>
      </c>
      <c r="CZ79">
        <f>AE79</f>
        <v>4319.75</v>
      </c>
      <c r="DA79">
        <f>AI79</f>
        <v>1</v>
      </c>
      <c r="DB79">
        <f t="shared" si="17"/>
        <v>174.09</v>
      </c>
      <c r="DC79">
        <f t="shared" si="18"/>
        <v>0</v>
      </c>
      <c r="DD79" t="s">
        <v>6</v>
      </c>
      <c r="DE79" t="s">
        <v>6</v>
      </c>
      <c r="DF79">
        <f t="shared" si="20"/>
        <v>3571</v>
      </c>
      <c r="DG79">
        <f t="shared" si="19"/>
        <v>0</v>
      </c>
      <c r="DH79">
        <f>Source!I65*SmtRes!Y79</f>
        <v>0.8265127000000001</v>
      </c>
      <c r="DI79">
        <f>AA79</f>
        <v>4319.75</v>
      </c>
      <c r="DJ79">
        <f>EtalonRes!Y79</f>
        <v>4319.75</v>
      </c>
      <c r="DK79">
        <f>Source!BC65</f>
        <v>1</v>
      </c>
      <c r="DL79" t="s">
        <v>6</v>
      </c>
      <c r="DM79">
        <v>0</v>
      </c>
      <c r="DN79" t="s">
        <v>6</v>
      </c>
      <c r="DO79">
        <v>0</v>
      </c>
      <c r="GP79">
        <v>1</v>
      </c>
      <c r="GQ79">
        <v>-1</v>
      </c>
      <c r="GR79">
        <v>-1</v>
      </c>
    </row>
    <row r="80" spans="1:200" x14ac:dyDescent="0.2">
      <c r="A80">
        <f>ROW(Source!A65)</f>
        <v>65</v>
      </c>
      <c r="B80">
        <v>74242616</v>
      </c>
      <c r="C80">
        <v>74242812</v>
      </c>
      <c r="D80">
        <v>27371543</v>
      </c>
      <c r="E80">
        <v>1</v>
      </c>
      <c r="F80">
        <v>1</v>
      </c>
      <c r="G80">
        <v>1</v>
      </c>
      <c r="H80">
        <v>3</v>
      </c>
      <c r="I80" t="s">
        <v>31</v>
      </c>
      <c r="J80" t="s">
        <v>34</v>
      </c>
      <c r="K80" t="s">
        <v>32</v>
      </c>
      <c r="L80">
        <v>1346</v>
      </c>
      <c r="N80">
        <v>1009</v>
      </c>
      <c r="O80" t="s">
        <v>33</v>
      </c>
      <c r="P80" t="s">
        <v>33</v>
      </c>
      <c r="Q80">
        <v>1</v>
      </c>
      <c r="W80">
        <v>0</v>
      </c>
      <c r="X80">
        <v>-386994921</v>
      </c>
      <c r="Y80">
        <f t="shared" si="16"/>
        <v>0.1</v>
      </c>
      <c r="AA80">
        <v>1.82</v>
      </c>
      <c r="AB80">
        <v>0</v>
      </c>
      <c r="AC80">
        <v>0</v>
      </c>
      <c r="AD80">
        <v>0</v>
      </c>
      <c r="AE80">
        <v>1.82</v>
      </c>
      <c r="AF80">
        <v>0</v>
      </c>
      <c r="AG80">
        <v>0</v>
      </c>
      <c r="AH80">
        <v>0</v>
      </c>
      <c r="AI80">
        <v>1</v>
      </c>
      <c r="AJ80">
        <v>1</v>
      </c>
      <c r="AK80">
        <v>1</v>
      </c>
      <c r="AL80">
        <v>1</v>
      </c>
      <c r="AM80">
        <v>0</v>
      </c>
      <c r="AN80">
        <v>0</v>
      </c>
      <c r="AO80">
        <v>0</v>
      </c>
      <c r="AP80">
        <v>1</v>
      </c>
      <c r="AQ80">
        <v>0</v>
      </c>
      <c r="AR80">
        <v>0</v>
      </c>
      <c r="AS80" t="s">
        <v>6</v>
      </c>
      <c r="AT80">
        <v>0.1</v>
      </c>
      <c r="AU80" t="s">
        <v>6</v>
      </c>
      <c r="AV80">
        <v>0</v>
      </c>
      <c r="AW80">
        <v>2</v>
      </c>
      <c r="AX80">
        <v>74242829</v>
      </c>
      <c r="AY80">
        <v>2</v>
      </c>
      <c r="AZ80">
        <v>16384</v>
      </c>
      <c r="BA80">
        <v>80</v>
      </c>
      <c r="BB80">
        <v>3</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CV80">
        <v>0</v>
      </c>
      <c r="CW80">
        <v>0</v>
      </c>
      <c r="CX80">
        <f>ROUND(Y80*Source!I65,9)</f>
        <v>2.0508999999999999</v>
      </c>
      <c r="CY80">
        <f>AA80</f>
        <v>1.82</v>
      </c>
      <c r="CZ80">
        <f>AE80</f>
        <v>1.82</v>
      </c>
      <c r="DA80">
        <f>AI80</f>
        <v>1</v>
      </c>
      <c r="DB80">
        <f t="shared" si="17"/>
        <v>0.18</v>
      </c>
      <c r="DC80">
        <f t="shared" si="18"/>
        <v>0</v>
      </c>
      <c r="DD80" t="s">
        <v>6</v>
      </c>
      <c r="DE80" t="s">
        <v>6</v>
      </c>
      <c r="DF80">
        <f t="shared" si="20"/>
        <v>4</v>
      </c>
      <c r="DG80">
        <f t="shared" si="19"/>
        <v>0</v>
      </c>
      <c r="DH80">
        <f>Source!I65*SmtRes!Y80</f>
        <v>2.0508999999999999</v>
      </c>
      <c r="DI80">
        <f>AA80</f>
        <v>1.82</v>
      </c>
      <c r="DJ80">
        <f>EtalonRes!Y80</f>
        <v>3.19</v>
      </c>
      <c r="DK80">
        <f>Source!BC65</f>
        <v>1</v>
      </c>
      <c r="DL80" t="s">
        <v>6</v>
      </c>
      <c r="DM80">
        <v>0</v>
      </c>
      <c r="DN80" t="s">
        <v>6</v>
      </c>
      <c r="DO80">
        <v>0</v>
      </c>
      <c r="GP80">
        <v>1</v>
      </c>
      <c r="GQ80">
        <v>-1</v>
      </c>
      <c r="GR80">
        <v>-1</v>
      </c>
    </row>
    <row r="81" spans="1:200" x14ac:dyDescent="0.2">
      <c r="A81">
        <f>ROW(Source!A65)</f>
        <v>65</v>
      </c>
      <c r="B81">
        <v>74242616</v>
      </c>
      <c r="C81">
        <v>74242812</v>
      </c>
      <c r="D81">
        <v>10825323</v>
      </c>
      <c r="E81">
        <v>1</v>
      </c>
      <c r="F81">
        <v>1</v>
      </c>
      <c r="G81">
        <v>1</v>
      </c>
      <c r="H81">
        <v>3</v>
      </c>
      <c r="I81" t="s">
        <v>73</v>
      </c>
      <c r="J81" t="s">
        <v>76</v>
      </c>
      <c r="K81" t="s">
        <v>74</v>
      </c>
      <c r="L81">
        <v>1339</v>
      </c>
      <c r="N81">
        <v>1007</v>
      </c>
      <c r="O81" t="s">
        <v>75</v>
      </c>
      <c r="P81" t="s">
        <v>75</v>
      </c>
      <c r="Q81">
        <v>1</v>
      </c>
      <c r="W81">
        <v>0</v>
      </c>
      <c r="X81">
        <v>1444665788</v>
      </c>
      <c r="Y81">
        <f t="shared" si="16"/>
        <v>1.7100000000000001E-2</v>
      </c>
      <c r="AA81">
        <v>7.14</v>
      </c>
      <c r="AB81">
        <v>0</v>
      </c>
      <c r="AC81">
        <v>0</v>
      </c>
      <c r="AD81">
        <v>0</v>
      </c>
      <c r="AE81">
        <v>7.14</v>
      </c>
      <c r="AF81">
        <v>0</v>
      </c>
      <c r="AG81">
        <v>0</v>
      </c>
      <c r="AH81">
        <v>0</v>
      </c>
      <c r="AI81">
        <v>1</v>
      </c>
      <c r="AJ81">
        <v>1</v>
      </c>
      <c r="AK81">
        <v>1</v>
      </c>
      <c r="AL81">
        <v>1</v>
      </c>
      <c r="AM81">
        <v>0</v>
      </c>
      <c r="AN81">
        <v>0</v>
      </c>
      <c r="AO81">
        <v>0</v>
      </c>
      <c r="AP81">
        <v>1</v>
      </c>
      <c r="AQ81">
        <v>0</v>
      </c>
      <c r="AR81">
        <v>0</v>
      </c>
      <c r="AS81" t="s">
        <v>6</v>
      </c>
      <c r="AT81">
        <v>1.7100000000000001E-2</v>
      </c>
      <c r="AU81" t="s">
        <v>6</v>
      </c>
      <c r="AV81">
        <v>0</v>
      </c>
      <c r="AW81">
        <v>2</v>
      </c>
      <c r="AX81">
        <v>74242830</v>
      </c>
      <c r="AY81">
        <v>1</v>
      </c>
      <c r="AZ81">
        <v>0</v>
      </c>
      <c r="BA81">
        <v>81</v>
      </c>
      <c r="BB81">
        <v>3</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CV81">
        <v>0</v>
      </c>
      <c r="CW81">
        <v>0</v>
      </c>
      <c r="CX81">
        <f>ROUND(Y81*Source!I65,9)</f>
        <v>0.35070390000000001</v>
      </c>
      <c r="CY81">
        <f>AA81</f>
        <v>7.14</v>
      </c>
      <c r="CZ81">
        <f>AE81</f>
        <v>7.14</v>
      </c>
      <c r="DA81">
        <f>AI81</f>
        <v>1</v>
      </c>
      <c r="DB81">
        <f t="shared" si="17"/>
        <v>0.12</v>
      </c>
      <c r="DC81">
        <f t="shared" si="18"/>
        <v>0</v>
      </c>
      <c r="DD81" t="s">
        <v>6</v>
      </c>
      <c r="DE81" t="s">
        <v>6</v>
      </c>
      <c r="DF81">
        <f t="shared" si="20"/>
        <v>2</v>
      </c>
      <c r="DG81">
        <f t="shared" si="19"/>
        <v>0</v>
      </c>
      <c r="DH81">
        <f>Source!I65*SmtRes!Y81</f>
        <v>0.35070390000000001</v>
      </c>
      <c r="DI81">
        <f>AA81</f>
        <v>7.14</v>
      </c>
      <c r="DJ81">
        <f>EtalonRes!Y81</f>
        <v>7.14</v>
      </c>
      <c r="DK81">
        <f>Source!BC65</f>
        <v>1</v>
      </c>
      <c r="DL81" t="s">
        <v>6</v>
      </c>
      <c r="DM81">
        <v>0</v>
      </c>
      <c r="DN81" t="s">
        <v>6</v>
      </c>
      <c r="DO81">
        <v>0</v>
      </c>
      <c r="GP81">
        <v>1</v>
      </c>
      <c r="GQ81">
        <v>-1</v>
      </c>
      <c r="GR81">
        <v>-1</v>
      </c>
    </row>
    <row r="82" spans="1:200" x14ac:dyDescent="0.2">
      <c r="A82">
        <f>ROW(Source!A66)</f>
        <v>66</v>
      </c>
      <c r="B82">
        <v>74242617</v>
      </c>
      <c r="C82">
        <v>74242812</v>
      </c>
      <c r="D82">
        <v>5510968</v>
      </c>
      <c r="E82">
        <v>1</v>
      </c>
      <c r="F82">
        <v>1</v>
      </c>
      <c r="G82">
        <v>1</v>
      </c>
      <c r="H82">
        <v>1</v>
      </c>
      <c r="I82" t="s">
        <v>261</v>
      </c>
      <c r="J82" t="s">
        <v>6</v>
      </c>
      <c r="K82" t="s">
        <v>262</v>
      </c>
      <c r="L82">
        <v>1369</v>
      </c>
      <c r="N82">
        <v>1013</v>
      </c>
      <c r="O82" t="s">
        <v>249</v>
      </c>
      <c r="P82" t="s">
        <v>249</v>
      </c>
      <c r="Q82">
        <v>1</v>
      </c>
      <c r="W82">
        <v>0</v>
      </c>
      <c r="X82">
        <v>-1305892198</v>
      </c>
      <c r="Y82">
        <f t="shared" si="16"/>
        <v>14.68</v>
      </c>
      <c r="AA82">
        <v>0</v>
      </c>
      <c r="AB82">
        <v>0</v>
      </c>
      <c r="AC82">
        <v>0</v>
      </c>
      <c r="AD82">
        <v>335.97</v>
      </c>
      <c r="AE82">
        <v>0</v>
      </c>
      <c r="AF82">
        <v>0</v>
      </c>
      <c r="AG82">
        <v>0</v>
      </c>
      <c r="AH82">
        <v>9.7100000000000009</v>
      </c>
      <c r="AI82">
        <v>1</v>
      </c>
      <c r="AJ82">
        <v>1</v>
      </c>
      <c r="AK82">
        <v>1</v>
      </c>
      <c r="AL82">
        <v>34.6</v>
      </c>
      <c r="AM82">
        <v>5</v>
      </c>
      <c r="AN82">
        <v>0</v>
      </c>
      <c r="AO82">
        <v>1</v>
      </c>
      <c r="AP82">
        <v>0</v>
      </c>
      <c r="AQ82">
        <v>0</v>
      </c>
      <c r="AR82">
        <v>0</v>
      </c>
      <c r="AS82" t="s">
        <v>6</v>
      </c>
      <c r="AT82">
        <v>14.68</v>
      </c>
      <c r="AU82" t="s">
        <v>6</v>
      </c>
      <c r="AV82">
        <v>1</v>
      </c>
      <c r="AW82">
        <v>2</v>
      </c>
      <c r="AX82">
        <v>74242822</v>
      </c>
      <c r="AY82">
        <v>1</v>
      </c>
      <c r="AZ82">
        <v>0</v>
      </c>
      <c r="BA82">
        <v>82</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0</v>
      </c>
      <c r="CU82">
        <f>ROUND(AT82*Source!I66*AH82*AL82,0)</f>
        <v>101150</v>
      </c>
      <c r="CV82">
        <f>ROUND(Y82*Source!I66,9)</f>
        <v>301.07211999999998</v>
      </c>
      <c r="CW82">
        <v>0</v>
      </c>
      <c r="CX82">
        <f>ROUND(Y82*Source!I66,9)</f>
        <v>301.07211999999998</v>
      </c>
      <c r="CY82">
        <f>AD82</f>
        <v>335.97</v>
      </c>
      <c r="CZ82">
        <f>AH82</f>
        <v>9.7100000000000009</v>
      </c>
      <c r="DA82">
        <f>AL82</f>
        <v>34.6</v>
      </c>
      <c r="DB82">
        <f t="shared" si="17"/>
        <v>142.54</v>
      </c>
      <c r="DC82">
        <f t="shared" si="18"/>
        <v>0</v>
      </c>
      <c r="DD82" t="s">
        <v>6</v>
      </c>
      <c r="DE82" t="s">
        <v>6</v>
      </c>
      <c r="DF82">
        <f t="shared" si="20"/>
        <v>0</v>
      </c>
      <c r="DG82">
        <f t="shared" si="19"/>
        <v>0</v>
      </c>
      <c r="DH82">
        <f>Source!I66*SmtRes!Y82</f>
        <v>301.07211999999998</v>
      </c>
      <c r="DI82">
        <f>AD82</f>
        <v>335.97</v>
      </c>
      <c r="DJ82">
        <f>EtalonRes!AB82</f>
        <v>9.7100000000000009</v>
      </c>
      <c r="DK82">
        <f>Source!BA66</f>
        <v>34.6</v>
      </c>
      <c r="DL82" t="s">
        <v>6</v>
      </c>
      <c r="DM82">
        <v>0</v>
      </c>
      <c r="DN82" t="s">
        <v>6</v>
      </c>
      <c r="DO82">
        <v>0</v>
      </c>
      <c r="GQ82">
        <v>-1</v>
      </c>
      <c r="GR82">
        <v>-1</v>
      </c>
    </row>
    <row r="83" spans="1:200" x14ac:dyDescent="0.2">
      <c r="A83">
        <f>ROW(Source!A66)</f>
        <v>66</v>
      </c>
      <c r="B83">
        <v>74242617</v>
      </c>
      <c r="C83">
        <v>74242812</v>
      </c>
      <c r="D83">
        <v>121548</v>
      </c>
      <c r="E83">
        <v>1</v>
      </c>
      <c r="F83">
        <v>1</v>
      </c>
      <c r="G83">
        <v>1</v>
      </c>
      <c r="H83">
        <v>1</v>
      </c>
      <c r="I83" t="s">
        <v>40</v>
      </c>
      <c r="J83" t="s">
        <v>6</v>
      </c>
      <c r="K83" t="s">
        <v>250</v>
      </c>
      <c r="L83">
        <v>608254</v>
      </c>
      <c r="N83">
        <v>1013</v>
      </c>
      <c r="O83" t="s">
        <v>251</v>
      </c>
      <c r="P83" t="s">
        <v>251</v>
      </c>
      <c r="Q83">
        <v>1</v>
      </c>
      <c r="W83">
        <v>0</v>
      </c>
      <c r="X83">
        <v>-185737400</v>
      </c>
      <c r="Y83">
        <f t="shared" si="16"/>
        <v>0.08</v>
      </c>
      <c r="AA83">
        <v>0</v>
      </c>
      <c r="AB83">
        <v>0</v>
      </c>
      <c r="AC83">
        <v>0</v>
      </c>
      <c r="AD83">
        <v>0</v>
      </c>
      <c r="AE83">
        <v>0</v>
      </c>
      <c r="AF83">
        <v>0</v>
      </c>
      <c r="AG83">
        <v>0</v>
      </c>
      <c r="AH83">
        <v>0</v>
      </c>
      <c r="AI83">
        <v>1</v>
      </c>
      <c r="AJ83">
        <v>1</v>
      </c>
      <c r="AK83">
        <v>30.1</v>
      </c>
      <c r="AL83">
        <v>1</v>
      </c>
      <c r="AM83">
        <v>5</v>
      </c>
      <c r="AN83">
        <v>0</v>
      </c>
      <c r="AO83">
        <v>1</v>
      </c>
      <c r="AP83">
        <v>0</v>
      </c>
      <c r="AQ83">
        <v>0</v>
      </c>
      <c r="AR83">
        <v>0</v>
      </c>
      <c r="AS83" t="s">
        <v>6</v>
      </c>
      <c r="AT83">
        <v>0.08</v>
      </c>
      <c r="AU83" t="s">
        <v>6</v>
      </c>
      <c r="AV83">
        <v>2</v>
      </c>
      <c r="AW83">
        <v>2</v>
      </c>
      <c r="AX83">
        <v>74242823</v>
      </c>
      <c r="AY83">
        <v>1</v>
      </c>
      <c r="AZ83">
        <v>0</v>
      </c>
      <c r="BA83">
        <v>83</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CV83">
        <v>0</v>
      </c>
      <c r="CW83">
        <v>0</v>
      </c>
      <c r="CX83">
        <f>ROUND(Y83*Source!I66,9)</f>
        <v>1.64072</v>
      </c>
      <c r="CY83">
        <f>AD83</f>
        <v>0</v>
      </c>
      <c r="CZ83">
        <f>AH83</f>
        <v>0</v>
      </c>
      <c r="DA83">
        <f>AL83</f>
        <v>1</v>
      </c>
      <c r="DB83">
        <f t="shared" si="17"/>
        <v>0</v>
      </c>
      <c r="DC83">
        <f t="shared" si="18"/>
        <v>0</v>
      </c>
      <c r="DD83" t="s">
        <v>6</v>
      </c>
      <c r="DE83" t="s">
        <v>6</v>
      </c>
      <c r="DF83">
        <f t="shared" si="20"/>
        <v>0</v>
      </c>
      <c r="DG83">
        <f t="shared" si="19"/>
        <v>0</v>
      </c>
      <c r="DH83">
        <f>Source!I66*SmtRes!Y83</f>
        <v>1.64072</v>
      </c>
      <c r="DI83">
        <f>AD83</f>
        <v>0</v>
      </c>
      <c r="DJ83">
        <f>EtalonRes!AB83</f>
        <v>0</v>
      </c>
      <c r="DK83">
        <f>Source!BA66</f>
        <v>34.6</v>
      </c>
      <c r="DL83" t="s">
        <v>6</v>
      </c>
      <c r="DM83">
        <v>0</v>
      </c>
      <c r="DN83" t="s">
        <v>6</v>
      </c>
      <c r="DO83">
        <v>0</v>
      </c>
      <c r="GQ83">
        <v>-1</v>
      </c>
      <c r="GR83">
        <v>-1</v>
      </c>
    </row>
    <row r="84" spans="1:200" x14ac:dyDescent="0.2">
      <c r="A84">
        <f>ROW(Source!A66)</f>
        <v>66</v>
      </c>
      <c r="B84">
        <v>74242617</v>
      </c>
      <c r="C84">
        <v>74242812</v>
      </c>
      <c r="D84">
        <v>10844859</v>
      </c>
      <c r="E84">
        <v>1</v>
      </c>
      <c r="F84">
        <v>1</v>
      </c>
      <c r="G84">
        <v>1</v>
      </c>
      <c r="H84">
        <v>2</v>
      </c>
      <c r="I84" t="s">
        <v>263</v>
      </c>
      <c r="J84" t="s">
        <v>264</v>
      </c>
      <c r="K84" t="s">
        <v>265</v>
      </c>
      <c r="L84">
        <v>1480</v>
      </c>
      <c r="N84">
        <v>1013</v>
      </c>
      <c r="O84" t="s">
        <v>266</v>
      </c>
      <c r="P84" t="s">
        <v>267</v>
      </c>
      <c r="Q84">
        <v>1</v>
      </c>
      <c r="W84">
        <v>0</v>
      </c>
      <c r="X84">
        <v>1241890182</v>
      </c>
      <c r="Y84">
        <f t="shared" si="16"/>
        <v>0.02</v>
      </c>
      <c r="AA84">
        <v>0</v>
      </c>
      <c r="AB84">
        <v>704.14</v>
      </c>
      <c r="AC84">
        <v>391.9</v>
      </c>
      <c r="AD84">
        <v>0</v>
      </c>
      <c r="AE84">
        <v>0</v>
      </c>
      <c r="AF84">
        <v>55.14</v>
      </c>
      <c r="AG84">
        <v>13.02</v>
      </c>
      <c r="AH84">
        <v>0</v>
      </c>
      <c r="AI84">
        <v>1</v>
      </c>
      <c r="AJ84">
        <v>12.77</v>
      </c>
      <c r="AK84">
        <v>30.1</v>
      </c>
      <c r="AL84">
        <v>1</v>
      </c>
      <c r="AM84">
        <v>5</v>
      </c>
      <c r="AN84">
        <v>0</v>
      </c>
      <c r="AO84">
        <v>1</v>
      </c>
      <c r="AP84">
        <v>0</v>
      </c>
      <c r="AQ84">
        <v>0</v>
      </c>
      <c r="AR84">
        <v>0</v>
      </c>
      <c r="AS84" t="s">
        <v>6</v>
      </c>
      <c r="AT84">
        <v>0.02</v>
      </c>
      <c r="AU84" t="s">
        <v>6</v>
      </c>
      <c r="AV84">
        <v>0</v>
      </c>
      <c r="AW84">
        <v>2</v>
      </c>
      <c r="AX84">
        <v>74242824</v>
      </c>
      <c r="AY84">
        <v>1</v>
      </c>
      <c r="AZ84">
        <v>0</v>
      </c>
      <c r="BA84">
        <v>84</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0</v>
      </c>
      <c r="BW84">
        <v>0</v>
      </c>
      <c r="CV84">
        <v>0</v>
      </c>
      <c r="CW84">
        <f>ROUND(Y84*Source!I66*DO84,9)</f>
        <v>0</v>
      </c>
      <c r="CX84">
        <f>ROUND(Y84*Source!I66,9)</f>
        <v>0.41017999999999999</v>
      </c>
      <c r="CY84">
        <f>AB84</f>
        <v>704.14</v>
      </c>
      <c r="CZ84">
        <f>AF84</f>
        <v>55.14</v>
      </c>
      <c r="DA84">
        <f>AJ84</f>
        <v>12.77</v>
      </c>
      <c r="DB84">
        <f t="shared" si="17"/>
        <v>1.1000000000000001</v>
      </c>
      <c r="DC84">
        <f t="shared" si="18"/>
        <v>0.26</v>
      </c>
      <c r="DD84" t="s">
        <v>6</v>
      </c>
      <c r="DE84" t="s">
        <v>6</v>
      </c>
      <c r="DF84">
        <f t="shared" si="20"/>
        <v>0</v>
      </c>
      <c r="DG84">
        <f>ROUND(ROUND(AF84*AJ84,0)*CX84,0)</f>
        <v>289</v>
      </c>
      <c r="DH84">
        <f>Source!I66*SmtRes!Y84</f>
        <v>0.41017999999999999</v>
      </c>
      <c r="DI84">
        <f>AB84</f>
        <v>704.14</v>
      </c>
      <c r="DJ84">
        <f>EtalonRes!Z84</f>
        <v>55.14</v>
      </c>
      <c r="DK84">
        <f>Source!BB66</f>
        <v>12.77</v>
      </c>
      <c r="DL84" t="s">
        <v>6</v>
      </c>
      <c r="DM84">
        <v>0</v>
      </c>
      <c r="DN84" t="s">
        <v>6</v>
      </c>
      <c r="DO84">
        <v>0</v>
      </c>
      <c r="GQ84">
        <v>-1</v>
      </c>
      <c r="GR84">
        <v>-1</v>
      </c>
    </row>
    <row r="85" spans="1:200" x14ac:dyDescent="0.2">
      <c r="A85">
        <f>ROW(Source!A66)</f>
        <v>66</v>
      </c>
      <c r="B85">
        <v>74242617</v>
      </c>
      <c r="C85">
        <v>74242812</v>
      </c>
      <c r="D85">
        <v>35898338</v>
      </c>
      <c r="E85">
        <v>1</v>
      </c>
      <c r="F85">
        <v>1</v>
      </c>
      <c r="G85">
        <v>1</v>
      </c>
      <c r="H85">
        <v>2</v>
      </c>
      <c r="I85" t="s">
        <v>268</v>
      </c>
      <c r="J85" t="s">
        <v>269</v>
      </c>
      <c r="K85" t="s">
        <v>270</v>
      </c>
      <c r="L85">
        <v>1480</v>
      </c>
      <c r="N85">
        <v>1013</v>
      </c>
      <c r="O85" t="s">
        <v>266</v>
      </c>
      <c r="P85" t="s">
        <v>267</v>
      </c>
      <c r="Q85">
        <v>1</v>
      </c>
      <c r="W85">
        <v>0</v>
      </c>
      <c r="X85">
        <v>-2101324190</v>
      </c>
      <c r="Y85">
        <f t="shared" si="16"/>
        <v>0.92</v>
      </c>
      <c r="AA85">
        <v>0</v>
      </c>
      <c r="AB85">
        <v>26.43</v>
      </c>
      <c r="AC85">
        <v>0</v>
      </c>
      <c r="AD85">
        <v>0</v>
      </c>
      <c r="AE85">
        <v>0</v>
      </c>
      <c r="AF85">
        <v>2.0699999999999998</v>
      </c>
      <c r="AG85">
        <v>0</v>
      </c>
      <c r="AH85">
        <v>0</v>
      </c>
      <c r="AI85">
        <v>1</v>
      </c>
      <c r="AJ85">
        <v>12.77</v>
      </c>
      <c r="AK85">
        <v>30.1</v>
      </c>
      <c r="AL85">
        <v>1</v>
      </c>
      <c r="AM85">
        <v>5</v>
      </c>
      <c r="AN85">
        <v>0</v>
      </c>
      <c r="AO85">
        <v>1</v>
      </c>
      <c r="AP85">
        <v>0</v>
      </c>
      <c r="AQ85">
        <v>0</v>
      </c>
      <c r="AR85">
        <v>0</v>
      </c>
      <c r="AS85" t="s">
        <v>6</v>
      </c>
      <c r="AT85">
        <v>0.92</v>
      </c>
      <c r="AU85" t="s">
        <v>6</v>
      </c>
      <c r="AV85">
        <v>0</v>
      </c>
      <c r="AW85">
        <v>2</v>
      </c>
      <c r="AX85">
        <v>74242825</v>
      </c>
      <c r="AY85">
        <v>1</v>
      </c>
      <c r="AZ85">
        <v>0</v>
      </c>
      <c r="BA85">
        <v>85</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CV85">
        <v>0</v>
      </c>
      <c r="CW85">
        <f>ROUND(Y85*Source!I66*DO85,9)</f>
        <v>0</v>
      </c>
      <c r="CX85">
        <f>ROUND(Y85*Source!I66,9)</f>
        <v>18.868279999999999</v>
      </c>
      <c r="CY85">
        <f>AB85</f>
        <v>26.43</v>
      </c>
      <c r="CZ85">
        <f>AF85</f>
        <v>2.0699999999999998</v>
      </c>
      <c r="DA85">
        <f>AJ85</f>
        <v>12.77</v>
      </c>
      <c r="DB85">
        <f t="shared" si="17"/>
        <v>1.9</v>
      </c>
      <c r="DC85">
        <f t="shared" si="18"/>
        <v>0</v>
      </c>
      <c r="DD85" t="s">
        <v>6</v>
      </c>
      <c r="DE85" t="s">
        <v>6</v>
      </c>
      <c r="DF85">
        <f t="shared" si="20"/>
        <v>0</v>
      </c>
      <c r="DG85">
        <f>ROUND(ROUND(AF85*AJ85,0)*CX85,0)</f>
        <v>491</v>
      </c>
      <c r="DH85">
        <f>Source!I66*SmtRes!Y85</f>
        <v>18.868280000000002</v>
      </c>
      <c r="DI85">
        <f>AB85</f>
        <v>26.43</v>
      </c>
      <c r="DJ85">
        <f>EtalonRes!Z85</f>
        <v>2.0699999999999998</v>
      </c>
      <c r="DK85">
        <f>Source!BB66</f>
        <v>12.77</v>
      </c>
      <c r="DL85" t="s">
        <v>6</v>
      </c>
      <c r="DM85">
        <v>0</v>
      </c>
      <c r="DN85" t="s">
        <v>6</v>
      </c>
      <c r="DO85">
        <v>0</v>
      </c>
      <c r="GQ85">
        <v>-1</v>
      </c>
      <c r="GR85">
        <v>-1</v>
      </c>
    </row>
    <row r="86" spans="1:200" x14ac:dyDescent="0.2">
      <c r="A86">
        <f>ROW(Source!A66)</f>
        <v>66</v>
      </c>
      <c r="B86">
        <v>74242617</v>
      </c>
      <c r="C86">
        <v>74242812</v>
      </c>
      <c r="D86">
        <v>10843192</v>
      </c>
      <c r="E86">
        <v>1</v>
      </c>
      <c r="F86">
        <v>1</v>
      </c>
      <c r="G86">
        <v>1</v>
      </c>
      <c r="H86">
        <v>2</v>
      </c>
      <c r="I86" t="s">
        <v>256</v>
      </c>
      <c r="J86" t="s">
        <v>271</v>
      </c>
      <c r="K86" t="s">
        <v>272</v>
      </c>
      <c r="L86">
        <v>1480</v>
      </c>
      <c r="N86">
        <v>1013</v>
      </c>
      <c r="O86" t="s">
        <v>266</v>
      </c>
      <c r="P86" t="s">
        <v>267</v>
      </c>
      <c r="Q86">
        <v>1</v>
      </c>
      <c r="W86">
        <v>0</v>
      </c>
      <c r="X86">
        <v>-1592911513</v>
      </c>
      <c r="Y86">
        <f t="shared" si="16"/>
        <v>0.06</v>
      </c>
      <c r="AA86">
        <v>0</v>
      </c>
      <c r="AB86">
        <v>1097.45</v>
      </c>
      <c r="AC86">
        <v>0</v>
      </c>
      <c r="AD86">
        <v>0</v>
      </c>
      <c r="AE86">
        <v>0</v>
      </c>
      <c r="AF86">
        <v>85.94</v>
      </c>
      <c r="AG86">
        <v>0</v>
      </c>
      <c r="AH86">
        <v>0</v>
      </c>
      <c r="AI86">
        <v>1</v>
      </c>
      <c r="AJ86">
        <v>12.77</v>
      </c>
      <c r="AK86">
        <v>30.1</v>
      </c>
      <c r="AL86">
        <v>1</v>
      </c>
      <c r="AM86">
        <v>5</v>
      </c>
      <c r="AN86">
        <v>0</v>
      </c>
      <c r="AO86">
        <v>1</v>
      </c>
      <c r="AP86">
        <v>0</v>
      </c>
      <c r="AQ86">
        <v>0</v>
      </c>
      <c r="AR86">
        <v>0</v>
      </c>
      <c r="AS86" t="s">
        <v>6</v>
      </c>
      <c r="AT86">
        <v>0.06</v>
      </c>
      <c r="AU86" t="s">
        <v>6</v>
      </c>
      <c r="AV86">
        <v>0</v>
      </c>
      <c r="AW86">
        <v>2</v>
      </c>
      <c r="AX86">
        <v>74242826</v>
      </c>
      <c r="AY86">
        <v>1</v>
      </c>
      <c r="AZ86">
        <v>0</v>
      </c>
      <c r="BA86">
        <v>86</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CV86">
        <v>0</v>
      </c>
      <c r="CW86">
        <f>ROUND(Y86*Source!I66*DO86,9)</f>
        <v>0</v>
      </c>
      <c r="CX86">
        <f>ROUND(Y86*Source!I66,9)</f>
        <v>1.23054</v>
      </c>
      <c r="CY86">
        <f>AB86</f>
        <v>1097.45</v>
      </c>
      <c r="CZ86">
        <f>AF86</f>
        <v>85.94</v>
      </c>
      <c r="DA86">
        <f>AJ86</f>
        <v>12.77</v>
      </c>
      <c r="DB86">
        <f t="shared" si="17"/>
        <v>5.16</v>
      </c>
      <c r="DC86">
        <f t="shared" si="18"/>
        <v>0</v>
      </c>
      <c r="DD86" t="s">
        <v>6</v>
      </c>
      <c r="DE86" t="s">
        <v>6</v>
      </c>
      <c r="DF86">
        <f t="shared" si="20"/>
        <v>0</v>
      </c>
      <c r="DG86">
        <f>ROUND(ROUND(AF86*AJ86,0)*CX86,0)</f>
        <v>1350</v>
      </c>
      <c r="DH86">
        <f>Source!I66*SmtRes!Y86</f>
        <v>1.23054</v>
      </c>
      <c r="DI86">
        <f>AB86</f>
        <v>1097.45</v>
      </c>
      <c r="DJ86">
        <f>EtalonRes!Z86</f>
        <v>85.94</v>
      </c>
      <c r="DK86">
        <f>Source!BB66</f>
        <v>12.77</v>
      </c>
      <c r="DL86" t="s">
        <v>6</v>
      </c>
      <c r="DM86">
        <v>0</v>
      </c>
      <c r="DN86" t="s">
        <v>6</v>
      </c>
      <c r="DO86">
        <v>0</v>
      </c>
      <c r="GQ86">
        <v>-1</v>
      </c>
      <c r="GR86">
        <v>-1</v>
      </c>
    </row>
    <row r="87" spans="1:200" x14ac:dyDescent="0.2">
      <c r="A87">
        <f>ROW(Source!A66)</f>
        <v>66</v>
      </c>
      <c r="B87">
        <v>74242617</v>
      </c>
      <c r="C87">
        <v>74242812</v>
      </c>
      <c r="D87">
        <v>10841946</v>
      </c>
      <c r="E87">
        <v>1</v>
      </c>
      <c r="F87">
        <v>1</v>
      </c>
      <c r="G87">
        <v>1</v>
      </c>
      <c r="H87">
        <v>3</v>
      </c>
      <c r="I87" t="s">
        <v>61</v>
      </c>
      <c r="J87" t="s">
        <v>64</v>
      </c>
      <c r="K87" t="s">
        <v>62</v>
      </c>
      <c r="L87">
        <v>1327</v>
      </c>
      <c r="N87">
        <v>1005</v>
      </c>
      <c r="O87" t="s">
        <v>63</v>
      </c>
      <c r="P87" t="s">
        <v>63</v>
      </c>
      <c r="Q87">
        <v>1</v>
      </c>
      <c r="W87">
        <v>0</v>
      </c>
      <c r="X87">
        <v>-1540695423</v>
      </c>
      <c r="Y87">
        <f t="shared" si="16"/>
        <v>1.2E-2</v>
      </c>
      <c r="AA87">
        <v>251.1</v>
      </c>
      <c r="AB87">
        <v>0</v>
      </c>
      <c r="AC87">
        <v>0</v>
      </c>
      <c r="AD87">
        <v>0</v>
      </c>
      <c r="AE87">
        <v>34.72</v>
      </c>
      <c r="AF87">
        <v>0</v>
      </c>
      <c r="AG87">
        <v>0</v>
      </c>
      <c r="AH87">
        <v>0</v>
      </c>
      <c r="AI87">
        <v>7.56</v>
      </c>
      <c r="AJ87">
        <v>1</v>
      </c>
      <c r="AK87">
        <v>1</v>
      </c>
      <c r="AL87">
        <v>1</v>
      </c>
      <c r="AM87">
        <v>0</v>
      </c>
      <c r="AN87">
        <v>0</v>
      </c>
      <c r="AO87">
        <v>0</v>
      </c>
      <c r="AP87">
        <v>1</v>
      </c>
      <c r="AQ87">
        <v>0</v>
      </c>
      <c r="AR87">
        <v>0</v>
      </c>
      <c r="AS87" t="s">
        <v>6</v>
      </c>
      <c r="AT87">
        <v>1.2E-2</v>
      </c>
      <c r="AU87" t="s">
        <v>6</v>
      </c>
      <c r="AV87">
        <v>0</v>
      </c>
      <c r="AW87">
        <v>2</v>
      </c>
      <c r="AX87">
        <v>74242827</v>
      </c>
      <c r="AY87">
        <v>1</v>
      </c>
      <c r="AZ87">
        <v>16384</v>
      </c>
      <c r="BA87">
        <v>87</v>
      </c>
      <c r="BB87">
        <v>3</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0</v>
      </c>
      <c r="CV87">
        <v>0</v>
      </c>
      <c r="CW87">
        <v>0</v>
      </c>
      <c r="CX87">
        <f>ROUND(Y87*Source!I66,9)</f>
        <v>0.24610799999999999</v>
      </c>
      <c r="CY87">
        <f>AA87</f>
        <v>251.1</v>
      </c>
      <c r="CZ87">
        <f>AE87</f>
        <v>34.72</v>
      </c>
      <c r="DA87">
        <f>AI87</f>
        <v>7.56</v>
      </c>
      <c r="DB87">
        <f t="shared" si="17"/>
        <v>0.42</v>
      </c>
      <c r="DC87">
        <f t="shared" si="18"/>
        <v>0</v>
      </c>
      <c r="DD87" t="s">
        <v>6</v>
      </c>
      <c r="DE87" t="s">
        <v>6</v>
      </c>
      <c r="DF87">
        <f>ROUND(ROUND(AE87*AI87,0)*CX87,0)</f>
        <v>64</v>
      </c>
      <c r="DG87">
        <f t="shared" ref="DG87:DG98" si="21">ROUND(ROUND(AF87,0)*CX87,0)</f>
        <v>0</v>
      </c>
      <c r="DH87">
        <f>Source!I66*SmtRes!Y87</f>
        <v>0.24610800000000002</v>
      </c>
      <c r="DI87">
        <f>AA87</f>
        <v>251.1</v>
      </c>
      <c r="DJ87">
        <f>EtalonRes!Y87</f>
        <v>57.14</v>
      </c>
      <c r="DK87">
        <f>Source!BC66</f>
        <v>7.56</v>
      </c>
      <c r="DL87" t="s">
        <v>6</v>
      </c>
      <c r="DM87">
        <v>0</v>
      </c>
      <c r="DN87" t="s">
        <v>6</v>
      </c>
      <c r="DO87">
        <v>0</v>
      </c>
      <c r="GP87">
        <v>1</v>
      </c>
      <c r="GQ87">
        <v>-1</v>
      </c>
      <c r="GR87">
        <v>-1</v>
      </c>
    </row>
    <row r="88" spans="1:200" x14ac:dyDescent="0.2">
      <c r="A88">
        <f>ROW(Source!A66)</f>
        <v>66</v>
      </c>
      <c r="B88">
        <v>74242617</v>
      </c>
      <c r="C88">
        <v>74242812</v>
      </c>
      <c r="D88">
        <v>35898280</v>
      </c>
      <c r="E88">
        <v>1</v>
      </c>
      <c r="F88">
        <v>1</v>
      </c>
      <c r="G88">
        <v>1</v>
      </c>
      <c r="H88">
        <v>3</v>
      </c>
      <c r="I88" t="s">
        <v>84</v>
      </c>
      <c r="J88" t="s">
        <v>86</v>
      </c>
      <c r="K88" t="s">
        <v>85</v>
      </c>
      <c r="L88">
        <v>1348</v>
      </c>
      <c r="N88">
        <v>1009</v>
      </c>
      <c r="O88" t="s">
        <v>44</v>
      </c>
      <c r="P88" t="s">
        <v>44</v>
      </c>
      <c r="Q88">
        <v>1000</v>
      </c>
      <c r="W88">
        <v>0</v>
      </c>
      <c r="X88">
        <v>2058864970</v>
      </c>
      <c r="Y88">
        <f t="shared" si="16"/>
        <v>4.0300000000000002E-2</v>
      </c>
      <c r="AA88">
        <v>17010</v>
      </c>
      <c r="AB88">
        <v>0</v>
      </c>
      <c r="AC88">
        <v>0</v>
      </c>
      <c r="AD88">
        <v>0</v>
      </c>
      <c r="AE88">
        <v>2352.38</v>
      </c>
      <c r="AF88">
        <v>0</v>
      </c>
      <c r="AG88">
        <v>0</v>
      </c>
      <c r="AH88">
        <v>0</v>
      </c>
      <c r="AI88">
        <v>7.56</v>
      </c>
      <c r="AJ88">
        <v>1</v>
      </c>
      <c r="AK88">
        <v>1</v>
      </c>
      <c r="AL88">
        <v>1</v>
      </c>
      <c r="AM88">
        <v>0</v>
      </c>
      <c r="AN88">
        <v>0</v>
      </c>
      <c r="AO88">
        <v>0</v>
      </c>
      <c r="AP88">
        <v>1</v>
      </c>
      <c r="AQ88">
        <v>0</v>
      </c>
      <c r="AR88">
        <v>0</v>
      </c>
      <c r="AS88" t="s">
        <v>6</v>
      </c>
      <c r="AT88">
        <v>4.0300000000000002E-2</v>
      </c>
      <c r="AU88" t="s">
        <v>6</v>
      </c>
      <c r="AV88">
        <v>0</v>
      </c>
      <c r="AW88">
        <v>2</v>
      </c>
      <c r="AX88">
        <v>74242828</v>
      </c>
      <c r="AY88">
        <v>1</v>
      </c>
      <c r="AZ88">
        <v>16384</v>
      </c>
      <c r="BA88">
        <v>88</v>
      </c>
      <c r="BB88">
        <v>3</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CV88">
        <v>0</v>
      </c>
      <c r="CW88">
        <v>0</v>
      </c>
      <c r="CX88">
        <f>ROUND(Y88*Source!I66,9)</f>
        <v>0.82651269999999999</v>
      </c>
      <c r="CY88">
        <f>AA88</f>
        <v>17010</v>
      </c>
      <c r="CZ88">
        <f>AE88</f>
        <v>2352.38</v>
      </c>
      <c r="DA88">
        <f>AI88</f>
        <v>7.56</v>
      </c>
      <c r="DB88">
        <f t="shared" si="17"/>
        <v>94.8</v>
      </c>
      <c r="DC88">
        <f t="shared" si="18"/>
        <v>0</v>
      </c>
      <c r="DD88" t="s">
        <v>6</v>
      </c>
      <c r="DE88" t="s">
        <v>6</v>
      </c>
      <c r="DF88">
        <f>ROUND(ROUND(AE88*AI88,0)*CX88,0)</f>
        <v>14699</v>
      </c>
      <c r="DG88">
        <f t="shared" si="21"/>
        <v>0</v>
      </c>
      <c r="DH88">
        <f>Source!I66*SmtRes!Y88</f>
        <v>0.8265127000000001</v>
      </c>
      <c r="DI88">
        <f>AA88</f>
        <v>17010</v>
      </c>
      <c r="DJ88">
        <f>EtalonRes!Y88</f>
        <v>4319.75</v>
      </c>
      <c r="DK88">
        <f>Source!BC66</f>
        <v>7.56</v>
      </c>
      <c r="DL88" t="s">
        <v>6</v>
      </c>
      <c r="DM88">
        <v>0</v>
      </c>
      <c r="DN88" t="s">
        <v>6</v>
      </c>
      <c r="DO88">
        <v>0</v>
      </c>
      <c r="GP88">
        <v>1</v>
      </c>
      <c r="GQ88">
        <v>-1</v>
      </c>
      <c r="GR88">
        <v>-1</v>
      </c>
    </row>
    <row r="89" spans="1:200" x14ac:dyDescent="0.2">
      <c r="A89">
        <f>ROW(Source!A66)</f>
        <v>66</v>
      </c>
      <c r="B89">
        <v>74242617</v>
      </c>
      <c r="C89">
        <v>74242812</v>
      </c>
      <c r="D89">
        <v>27371543</v>
      </c>
      <c r="E89">
        <v>1</v>
      </c>
      <c r="F89">
        <v>1</v>
      </c>
      <c r="G89">
        <v>1</v>
      </c>
      <c r="H89">
        <v>3</v>
      </c>
      <c r="I89" t="s">
        <v>31</v>
      </c>
      <c r="J89" t="s">
        <v>34</v>
      </c>
      <c r="K89" t="s">
        <v>32</v>
      </c>
      <c r="L89">
        <v>1346</v>
      </c>
      <c r="N89">
        <v>1009</v>
      </c>
      <c r="O89" t="s">
        <v>33</v>
      </c>
      <c r="P89" t="s">
        <v>33</v>
      </c>
      <c r="Q89">
        <v>1</v>
      </c>
      <c r="W89">
        <v>0</v>
      </c>
      <c r="X89">
        <v>-386994921</v>
      </c>
      <c r="Y89">
        <f t="shared" si="16"/>
        <v>0.1</v>
      </c>
      <c r="AA89">
        <v>31</v>
      </c>
      <c r="AB89">
        <v>0</v>
      </c>
      <c r="AC89">
        <v>0</v>
      </c>
      <c r="AD89">
        <v>0</v>
      </c>
      <c r="AE89">
        <v>4.2799999999999994</v>
      </c>
      <c r="AF89">
        <v>0</v>
      </c>
      <c r="AG89">
        <v>0</v>
      </c>
      <c r="AH89">
        <v>0</v>
      </c>
      <c r="AI89">
        <v>7.56</v>
      </c>
      <c r="AJ89">
        <v>1</v>
      </c>
      <c r="AK89">
        <v>1</v>
      </c>
      <c r="AL89">
        <v>1</v>
      </c>
      <c r="AM89">
        <v>0</v>
      </c>
      <c r="AN89">
        <v>0</v>
      </c>
      <c r="AO89">
        <v>0</v>
      </c>
      <c r="AP89">
        <v>1</v>
      </c>
      <c r="AQ89">
        <v>0</v>
      </c>
      <c r="AR89">
        <v>0</v>
      </c>
      <c r="AS89" t="s">
        <v>6</v>
      </c>
      <c r="AT89">
        <v>0.1</v>
      </c>
      <c r="AU89" t="s">
        <v>6</v>
      </c>
      <c r="AV89">
        <v>0</v>
      </c>
      <c r="AW89">
        <v>2</v>
      </c>
      <c r="AX89">
        <v>74242829</v>
      </c>
      <c r="AY89">
        <v>2</v>
      </c>
      <c r="AZ89">
        <v>16384</v>
      </c>
      <c r="BA89">
        <v>89</v>
      </c>
      <c r="BB89">
        <v>3</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CV89">
        <v>0</v>
      </c>
      <c r="CW89">
        <v>0</v>
      </c>
      <c r="CX89">
        <f>ROUND(Y89*Source!I66,9)</f>
        <v>2.0508999999999999</v>
      </c>
      <c r="CY89">
        <f>AA89</f>
        <v>31</v>
      </c>
      <c r="CZ89">
        <f>AE89</f>
        <v>4.2799999999999994</v>
      </c>
      <c r="DA89">
        <f>AI89</f>
        <v>7.56</v>
      </c>
      <c r="DB89">
        <f t="shared" si="17"/>
        <v>0.43</v>
      </c>
      <c r="DC89">
        <f t="shared" si="18"/>
        <v>0</v>
      </c>
      <c r="DD89" t="s">
        <v>6</v>
      </c>
      <c r="DE89" t="s">
        <v>6</v>
      </c>
      <c r="DF89">
        <f>ROUND(ROUND(AE89*AI89,0)*CX89,0)</f>
        <v>66</v>
      </c>
      <c r="DG89">
        <f t="shared" si="21"/>
        <v>0</v>
      </c>
      <c r="DH89">
        <f>Source!I66*SmtRes!Y89</f>
        <v>2.0508999999999999</v>
      </c>
      <c r="DI89">
        <f>AA89</f>
        <v>31</v>
      </c>
      <c r="DJ89">
        <f>EtalonRes!Y89</f>
        <v>3.19</v>
      </c>
      <c r="DK89">
        <f>Source!BC66</f>
        <v>7.56</v>
      </c>
      <c r="DL89" t="s">
        <v>6</v>
      </c>
      <c r="DM89">
        <v>0</v>
      </c>
      <c r="DN89" t="s">
        <v>6</v>
      </c>
      <c r="DO89">
        <v>0</v>
      </c>
      <c r="GP89">
        <v>1</v>
      </c>
      <c r="GQ89">
        <v>-1</v>
      </c>
      <c r="GR89">
        <v>-1</v>
      </c>
    </row>
    <row r="90" spans="1:200" x14ac:dyDescent="0.2">
      <c r="A90">
        <f>ROW(Source!A66)</f>
        <v>66</v>
      </c>
      <c r="B90">
        <v>74242617</v>
      </c>
      <c r="C90">
        <v>74242812</v>
      </c>
      <c r="D90">
        <v>10825323</v>
      </c>
      <c r="E90">
        <v>1</v>
      </c>
      <c r="F90">
        <v>1</v>
      </c>
      <c r="G90">
        <v>1</v>
      </c>
      <c r="H90">
        <v>3</v>
      </c>
      <c r="I90" t="s">
        <v>73</v>
      </c>
      <c r="J90" t="s">
        <v>76</v>
      </c>
      <c r="K90" t="s">
        <v>74</v>
      </c>
      <c r="L90">
        <v>1339</v>
      </c>
      <c r="N90">
        <v>1007</v>
      </c>
      <c r="O90" t="s">
        <v>75</v>
      </c>
      <c r="P90" t="s">
        <v>75</v>
      </c>
      <c r="Q90">
        <v>1</v>
      </c>
      <c r="W90">
        <v>0</v>
      </c>
      <c r="X90">
        <v>1444665788</v>
      </c>
      <c r="Y90">
        <f t="shared" si="16"/>
        <v>1.7100000000000001E-2</v>
      </c>
      <c r="AA90">
        <v>14.19</v>
      </c>
      <c r="AB90">
        <v>0</v>
      </c>
      <c r="AC90">
        <v>0</v>
      </c>
      <c r="AD90">
        <v>0</v>
      </c>
      <c r="AE90">
        <v>1.97</v>
      </c>
      <c r="AF90">
        <v>0</v>
      </c>
      <c r="AG90">
        <v>0</v>
      </c>
      <c r="AH90">
        <v>0</v>
      </c>
      <c r="AI90">
        <v>7.56</v>
      </c>
      <c r="AJ90">
        <v>1</v>
      </c>
      <c r="AK90">
        <v>1</v>
      </c>
      <c r="AL90">
        <v>1</v>
      </c>
      <c r="AM90">
        <v>0</v>
      </c>
      <c r="AN90">
        <v>0</v>
      </c>
      <c r="AO90">
        <v>0</v>
      </c>
      <c r="AP90">
        <v>1</v>
      </c>
      <c r="AQ90">
        <v>0</v>
      </c>
      <c r="AR90">
        <v>0</v>
      </c>
      <c r="AS90" t="s">
        <v>6</v>
      </c>
      <c r="AT90">
        <v>1.7100000000000001E-2</v>
      </c>
      <c r="AU90" t="s">
        <v>6</v>
      </c>
      <c r="AV90">
        <v>0</v>
      </c>
      <c r="AW90">
        <v>2</v>
      </c>
      <c r="AX90">
        <v>74242830</v>
      </c>
      <c r="AY90">
        <v>1</v>
      </c>
      <c r="AZ90">
        <v>16384</v>
      </c>
      <c r="BA90">
        <v>90</v>
      </c>
      <c r="BB90">
        <v>3</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CV90">
        <v>0</v>
      </c>
      <c r="CW90">
        <v>0</v>
      </c>
      <c r="CX90">
        <f>ROUND(Y90*Source!I66,9)</f>
        <v>0.35070390000000001</v>
      </c>
      <c r="CY90">
        <f>AA90</f>
        <v>14.19</v>
      </c>
      <c r="CZ90">
        <f>AE90</f>
        <v>1.97</v>
      </c>
      <c r="DA90">
        <f>AI90</f>
        <v>7.56</v>
      </c>
      <c r="DB90">
        <f t="shared" si="17"/>
        <v>0.03</v>
      </c>
      <c r="DC90">
        <f t="shared" si="18"/>
        <v>0</v>
      </c>
      <c r="DD90" t="s">
        <v>6</v>
      </c>
      <c r="DE90" t="s">
        <v>6</v>
      </c>
      <c r="DF90">
        <f>ROUND(ROUND(AE90*AI90,0)*CX90,0)</f>
        <v>5</v>
      </c>
      <c r="DG90">
        <f t="shared" si="21"/>
        <v>0</v>
      </c>
      <c r="DH90">
        <f>Source!I66*SmtRes!Y90</f>
        <v>0.35070390000000001</v>
      </c>
      <c r="DI90">
        <f>AA90</f>
        <v>14.19</v>
      </c>
      <c r="DJ90">
        <f>EtalonRes!Y90</f>
        <v>7.14</v>
      </c>
      <c r="DK90">
        <f>Source!BC66</f>
        <v>7.56</v>
      </c>
      <c r="DL90" t="s">
        <v>6</v>
      </c>
      <c r="DM90">
        <v>0</v>
      </c>
      <c r="DN90" t="s">
        <v>6</v>
      </c>
      <c r="DO90">
        <v>0</v>
      </c>
      <c r="GP90">
        <v>1</v>
      </c>
      <c r="GQ90">
        <v>-1</v>
      </c>
      <c r="GR90">
        <v>-1</v>
      </c>
    </row>
    <row r="91" spans="1:200" x14ac:dyDescent="0.2">
      <c r="A91">
        <f>ROW(Source!A75)</f>
        <v>75</v>
      </c>
      <c r="B91">
        <v>74242616</v>
      </c>
      <c r="C91">
        <v>74242835</v>
      </c>
      <c r="D91">
        <v>27499237</v>
      </c>
      <c r="E91">
        <v>1</v>
      </c>
      <c r="F91">
        <v>1</v>
      </c>
      <c r="G91">
        <v>1</v>
      </c>
      <c r="H91">
        <v>1</v>
      </c>
      <c r="I91" t="s">
        <v>247</v>
      </c>
      <c r="J91" t="s">
        <v>6</v>
      </c>
      <c r="K91" t="s">
        <v>248</v>
      </c>
      <c r="L91">
        <v>1369</v>
      </c>
      <c r="N91">
        <v>1013</v>
      </c>
      <c r="O91" t="s">
        <v>249</v>
      </c>
      <c r="P91" t="s">
        <v>249</v>
      </c>
      <c r="Q91">
        <v>1</v>
      </c>
      <c r="W91">
        <v>0</v>
      </c>
      <c r="X91">
        <v>2106676593</v>
      </c>
      <c r="Y91">
        <f t="shared" si="16"/>
        <v>16.32</v>
      </c>
      <c r="AA91">
        <v>0</v>
      </c>
      <c r="AB91">
        <v>0</v>
      </c>
      <c r="AC91">
        <v>0</v>
      </c>
      <c r="AD91">
        <v>9.6999999999999993</v>
      </c>
      <c r="AE91">
        <v>0</v>
      </c>
      <c r="AF91">
        <v>0</v>
      </c>
      <c r="AG91">
        <v>0</v>
      </c>
      <c r="AH91">
        <v>9.6999999999999993</v>
      </c>
      <c r="AI91">
        <v>1</v>
      </c>
      <c r="AJ91">
        <v>1</v>
      </c>
      <c r="AK91">
        <v>1</v>
      </c>
      <c r="AL91">
        <v>1</v>
      </c>
      <c r="AM91">
        <v>0</v>
      </c>
      <c r="AN91">
        <v>0</v>
      </c>
      <c r="AO91">
        <v>1</v>
      </c>
      <c r="AP91">
        <v>0</v>
      </c>
      <c r="AQ91">
        <v>0</v>
      </c>
      <c r="AR91">
        <v>0</v>
      </c>
      <c r="AS91" t="s">
        <v>6</v>
      </c>
      <c r="AT91">
        <v>16.32</v>
      </c>
      <c r="AU91" t="s">
        <v>6</v>
      </c>
      <c r="AV91">
        <v>1</v>
      </c>
      <c r="AW91">
        <v>2</v>
      </c>
      <c r="AX91">
        <v>74242842</v>
      </c>
      <c r="AY91">
        <v>1</v>
      </c>
      <c r="AZ91">
        <v>0</v>
      </c>
      <c r="BA91">
        <v>91</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CU91">
        <f>ROUND(AT91*Source!I75*AH91*AL91,0)</f>
        <v>746</v>
      </c>
      <c r="CV91">
        <f>ROUND(Y91*Source!I75,9)</f>
        <v>76.932479999999998</v>
      </c>
      <c r="CW91">
        <v>0</v>
      </c>
      <c r="CX91">
        <f>ROUND(Y91*Source!I75,9)</f>
        <v>76.932479999999998</v>
      </c>
      <c r="CY91">
        <f>AD91</f>
        <v>9.6999999999999993</v>
      </c>
      <c r="CZ91">
        <f>AH91</f>
        <v>9.6999999999999993</v>
      </c>
      <c r="DA91">
        <f>AL91</f>
        <v>1</v>
      </c>
      <c r="DB91">
        <f t="shared" si="17"/>
        <v>158.30000000000001</v>
      </c>
      <c r="DC91">
        <f t="shared" si="18"/>
        <v>0</v>
      </c>
      <c r="DD91" t="s">
        <v>6</v>
      </c>
      <c r="DE91" t="s">
        <v>6</v>
      </c>
      <c r="DF91">
        <f t="shared" ref="DF91:DF100" si="22">ROUND(ROUND(AE91,0)*CX91,0)</f>
        <v>0</v>
      </c>
      <c r="DG91">
        <f t="shared" si="21"/>
        <v>0</v>
      </c>
      <c r="DH91">
        <f>Source!I75*SmtRes!Y91</f>
        <v>76.932480000000012</v>
      </c>
      <c r="DI91">
        <f>AD91</f>
        <v>9.6999999999999993</v>
      </c>
      <c r="DJ91">
        <f>EtalonRes!AB91</f>
        <v>9.6999999999999993</v>
      </c>
      <c r="DK91">
        <f>Source!BA75</f>
        <v>1</v>
      </c>
      <c r="DL91" t="s">
        <v>6</v>
      </c>
      <c r="DM91">
        <v>0</v>
      </c>
      <c r="DN91" t="s">
        <v>6</v>
      </c>
      <c r="DO91">
        <v>0</v>
      </c>
      <c r="GQ91">
        <v>-1</v>
      </c>
      <c r="GR91">
        <v>-1</v>
      </c>
    </row>
    <row r="92" spans="1:200" x14ac:dyDescent="0.2">
      <c r="A92">
        <f>ROW(Source!A75)</f>
        <v>75</v>
      </c>
      <c r="B92">
        <v>74242616</v>
      </c>
      <c r="C92">
        <v>74242835</v>
      </c>
      <c r="D92">
        <v>121548</v>
      </c>
      <c r="E92">
        <v>1</v>
      </c>
      <c r="F92">
        <v>1</v>
      </c>
      <c r="G92">
        <v>1</v>
      </c>
      <c r="H92">
        <v>1</v>
      </c>
      <c r="I92" t="s">
        <v>40</v>
      </c>
      <c r="J92" t="s">
        <v>6</v>
      </c>
      <c r="K92" t="s">
        <v>250</v>
      </c>
      <c r="L92">
        <v>608254</v>
      </c>
      <c r="N92">
        <v>1013</v>
      </c>
      <c r="O92" t="s">
        <v>251</v>
      </c>
      <c r="P92" t="s">
        <v>251</v>
      </c>
      <c r="Q92">
        <v>1</v>
      </c>
      <c r="W92">
        <v>0</v>
      </c>
      <c r="X92">
        <v>-185737400</v>
      </c>
      <c r="Y92">
        <f t="shared" si="16"/>
        <v>0.01</v>
      </c>
      <c r="AA92">
        <v>0</v>
      </c>
      <c r="AB92">
        <v>0</v>
      </c>
      <c r="AC92">
        <v>0</v>
      </c>
      <c r="AD92">
        <v>0</v>
      </c>
      <c r="AE92">
        <v>0</v>
      </c>
      <c r="AF92">
        <v>0</v>
      </c>
      <c r="AG92">
        <v>0</v>
      </c>
      <c r="AH92">
        <v>0</v>
      </c>
      <c r="AI92">
        <v>1</v>
      </c>
      <c r="AJ92">
        <v>1</v>
      </c>
      <c r="AK92">
        <v>1</v>
      </c>
      <c r="AL92">
        <v>1</v>
      </c>
      <c r="AM92">
        <v>0</v>
      </c>
      <c r="AN92">
        <v>0</v>
      </c>
      <c r="AO92">
        <v>1</v>
      </c>
      <c r="AP92">
        <v>0</v>
      </c>
      <c r="AQ92">
        <v>0</v>
      </c>
      <c r="AR92">
        <v>0</v>
      </c>
      <c r="AS92" t="s">
        <v>6</v>
      </c>
      <c r="AT92">
        <v>0.01</v>
      </c>
      <c r="AU92" t="s">
        <v>6</v>
      </c>
      <c r="AV92">
        <v>2</v>
      </c>
      <c r="AW92">
        <v>2</v>
      </c>
      <c r="AX92">
        <v>74242843</v>
      </c>
      <c r="AY92">
        <v>1</v>
      </c>
      <c r="AZ92">
        <v>0</v>
      </c>
      <c r="BA92">
        <v>92</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CV92">
        <v>0</v>
      </c>
      <c r="CW92">
        <v>0</v>
      </c>
      <c r="CX92">
        <f>ROUND(Y92*Source!I75,9)</f>
        <v>4.7140000000000001E-2</v>
      </c>
      <c r="CY92">
        <f>AD92</f>
        <v>0</v>
      </c>
      <c r="CZ92">
        <f>AH92</f>
        <v>0</v>
      </c>
      <c r="DA92">
        <f>AL92</f>
        <v>1</v>
      </c>
      <c r="DB92">
        <f t="shared" si="17"/>
        <v>0</v>
      </c>
      <c r="DC92">
        <f t="shared" si="18"/>
        <v>0</v>
      </c>
      <c r="DD92" t="s">
        <v>6</v>
      </c>
      <c r="DE92" t="s">
        <v>6</v>
      </c>
      <c r="DF92">
        <f t="shared" si="22"/>
        <v>0</v>
      </c>
      <c r="DG92">
        <f t="shared" si="21"/>
        <v>0</v>
      </c>
      <c r="DH92">
        <f>Source!I75*SmtRes!Y92</f>
        <v>4.7140000000000008E-2</v>
      </c>
      <c r="DI92">
        <f>AD92</f>
        <v>0</v>
      </c>
      <c r="DJ92">
        <f>EtalonRes!AB92</f>
        <v>0</v>
      </c>
      <c r="DK92">
        <f>Source!BA75</f>
        <v>1</v>
      </c>
      <c r="DL92" t="s">
        <v>6</v>
      </c>
      <c r="DM92">
        <v>0</v>
      </c>
      <c r="DN92" t="s">
        <v>6</v>
      </c>
      <c r="DO92">
        <v>0</v>
      </c>
      <c r="GQ92">
        <v>-1</v>
      </c>
      <c r="GR92">
        <v>-1</v>
      </c>
    </row>
    <row r="93" spans="1:200" x14ac:dyDescent="0.2">
      <c r="A93">
        <f>ROW(Source!A75)</f>
        <v>75</v>
      </c>
      <c r="B93">
        <v>74242616</v>
      </c>
      <c r="C93">
        <v>74242835</v>
      </c>
      <c r="D93">
        <v>27439630</v>
      </c>
      <c r="E93">
        <v>1</v>
      </c>
      <c r="F93">
        <v>1</v>
      </c>
      <c r="G93">
        <v>1</v>
      </c>
      <c r="H93">
        <v>2</v>
      </c>
      <c r="I93" t="s">
        <v>252</v>
      </c>
      <c r="J93" t="s">
        <v>253</v>
      </c>
      <c r="K93" t="s">
        <v>254</v>
      </c>
      <c r="L93">
        <v>1368</v>
      </c>
      <c r="N93">
        <v>1011</v>
      </c>
      <c r="O93" t="s">
        <v>255</v>
      </c>
      <c r="P93" t="s">
        <v>255</v>
      </c>
      <c r="Q93">
        <v>1</v>
      </c>
      <c r="W93">
        <v>0</v>
      </c>
      <c r="X93">
        <v>-72110300</v>
      </c>
      <c r="Y93">
        <f t="shared" si="16"/>
        <v>0.01</v>
      </c>
      <c r="AA93">
        <v>0</v>
      </c>
      <c r="AB93">
        <v>31.27</v>
      </c>
      <c r="AC93">
        <v>13.61</v>
      </c>
      <c r="AD93">
        <v>0</v>
      </c>
      <c r="AE93">
        <v>0</v>
      </c>
      <c r="AF93">
        <v>31.27</v>
      </c>
      <c r="AG93">
        <v>13.61</v>
      </c>
      <c r="AH93">
        <v>0</v>
      </c>
      <c r="AI93">
        <v>1</v>
      </c>
      <c r="AJ93">
        <v>1</v>
      </c>
      <c r="AK93">
        <v>1</v>
      </c>
      <c r="AL93">
        <v>1</v>
      </c>
      <c r="AM93">
        <v>0</v>
      </c>
      <c r="AN93">
        <v>0</v>
      </c>
      <c r="AO93">
        <v>1</v>
      </c>
      <c r="AP93">
        <v>0</v>
      </c>
      <c r="AQ93">
        <v>0</v>
      </c>
      <c r="AR93">
        <v>0</v>
      </c>
      <c r="AS93" t="s">
        <v>6</v>
      </c>
      <c r="AT93">
        <v>0.01</v>
      </c>
      <c r="AU93" t="s">
        <v>6</v>
      </c>
      <c r="AV93">
        <v>0</v>
      </c>
      <c r="AW93">
        <v>2</v>
      </c>
      <c r="AX93">
        <v>74242844</v>
      </c>
      <c r="AY93">
        <v>1</v>
      </c>
      <c r="AZ93">
        <v>0</v>
      </c>
      <c r="BA93">
        <v>93</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0</v>
      </c>
      <c r="BW93">
        <v>0</v>
      </c>
      <c r="CV93">
        <v>0</v>
      </c>
      <c r="CW93">
        <f>ROUND(Y93*Source!I75*DO93,9)</f>
        <v>0</v>
      </c>
      <c r="CX93">
        <f>ROUND(Y93*Source!I75,9)</f>
        <v>4.7140000000000001E-2</v>
      </c>
      <c r="CY93">
        <f>AB93</f>
        <v>31.27</v>
      </c>
      <c r="CZ93">
        <f>AF93</f>
        <v>31.27</v>
      </c>
      <c r="DA93">
        <f>AJ93</f>
        <v>1</v>
      </c>
      <c r="DB93">
        <f t="shared" si="17"/>
        <v>0.31</v>
      </c>
      <c r="DC93">
        <f t="shared" si="18"/>
        <v>0.14000000000000001</v>
      </c>
      <c r="DD93" t="s">
        <v>6</v>
      </c>
      <c r="DE93" t="s">
        <v>6</v>
      </c>
      <c r="DF93">
        <f t="shared" si="22"/>
        <v>0</v>
      </c>
      <c r="DG93">
        <f t="shared" si="21"/>
        <v>1</v>
      </c>
      <c r="DH93">
        <f>Source!I75*SmtRes!Y93</f>
        <v>4.7140000000000008E-2</v>
      </c>
      <c r="DI93">
        <f>AB93</f>
        <v>31.27</v>
      </c>
      <c r="DJ93">
        <f>EtalonRes!Z93</f>
        <v>31.27</v>
      </c>
      <c r="DK93">
        <f>Source!BB75</f>
        <v>1</v>
      </c>
      <c r="DL93" t="s">
        <v>6</v>
      </c>
      <c r="DM93">
        <v>0</v>
      </c>
      <c r="DN93" t="s">
        <v>6</v>
      </c>
      <c r="DO93">
        <v>0</v>
      </c>
      <c r="GQ93">
        <v>-1</v>
      </c>
      <c r="GR93">
        <v>-1</v>
      </c>
    </row>
    <row r="94" spans="1:200" x14ac:dyDescent="0.2">
      <c r="A94">
        <f>ROW(Source!A75)</f>
        <v>75</v>
      </c>
      <c r="B94">
        <v>74242616</v>
      </c>
      <c r="C94">
        <v>74242835</v>
      </c>
      <c r="D94">
        <v>27441327</v>
      </c>
      <c r="E94">
        <v>1</v>
      </c>
      <c r="F94">
        <v>1</v>
      </c>
      <c r="G94">
        <v>1</v>
      </c>
      <c r="H94">
        <v>2</v>
      </c>
      <c r="I94" t="s">
        <v>256</v>
      </c>
      <c r="J94" t="s">
        <v>257</v>
      </c>
      <c r="K94" t="s">
        <v>258</v>
      </c>
      <c r="L94">
        <v>1368</v>
      </c>
      <c r="N94">
        <v>1011</v>
      </c>
      <c r="O94" t="s">
        <v>255</v>
      </c>
      <c r="P94" t="s">
        <v>255</v>
      </c>
      <c r="Q94">
        <v>1</v>
      </c>
      <c r="W94">
        <v>0</v>
      </c>
      <c r="X94">
        <v>-1583389094</v>
      </c>
      <c r="Y94">
        <f t="shared" si="16"/>
        <v>0.02</v>
      </c>
      <c r="AA94">
        <v>0</v>
      </c>
      <c r="AB94">
        <v>93.37</v>
      </c>
      <c r="AC94">
        <v>11.69</v>
      </c>
      <c r="AD94">
        <v>0</v>
      </c>
      <c r="AE94">
        <v>0</v>
      </c>
      <c r="AF94">
        <v>93.37</v>
      </c>
      <c r="AG94">
        <v>11.69</v>
      </c>
      <c r="AH94">
        <v>0</v>
      </c>
      <c r="AI94">
        <v>1</v>
      </c>
      <c r="AJ94">
        <v>1</v>
      </c>
      <c r="AK94">
        <v>1</v>
      </c>
      <c r="AL94">
        <v>1</v>
      </c>
      <c r="AM94">
        <v>0</v>
      </c>
      <c r="AN94">
        <v>0</v>
      </c>
      <c r="AO94">
        <v>1</v>
      </c>
      <c r="AP94">
        <v>0</v>
      </c>
      <c r="AQ94">
        <v>0</v>
      </c>
      <c r="AR94">
        <v>0</v>
      </c>
      <c r="AS94" t="s">
        <v>6</v>
      </c>
      <c r="AT94">
        <v>0.02</v>
      </c>
      <c r="AU94" t="s">
        <v>6</v>
      </c>
      <c r="AV94">
        <v>0</v>
      </c>
      <c r="AW94">
        <v>2</v>
      </c>
      <c r="AX94">
        <v>74242845</v>
      </c>
      <c r="AY94">
        <v>1</v>
      </c>
      <c r="AZ94">
        <v>0</v>
      </c>
      <c r="BA94">
        <v>94</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0</v>
      </c>
      <c r="BW94">
        <v>0</v>
      </c>
      <c r="CV94">
        <v>0</v>
      </c>
      <c r="CW94">
        <f>ROUND(Y94*Source!I75*DO94,9)</f>
        <v>0</v>
      </c>
      <c r="CX94">
        <f>ROUND(Y94*Source!I75,9)</f>
        <v>9.4280000000000003E-2</v>
      </c>
      <c r="CY94">
        <f>AB94</f>
        <v>93.37</v>
      </c>
      <c r="CZ94">
        <f>AF94</f>
        <v>93.37</v>
      </c>
      <c r="DA94">
        <f>AJ94</f>
        <v>1</v>
      </c>
      <c r="DB94">
        <f t="shared" si="17"/>
        <v>1.87</v>
      </c>
      <c r="DC94">
        <f t="shared" si="18"/>
        <v>0.23</v>
      </c>
      <c r="DD94" t="s">
        <v>6</v>
      </c>
      <c r="DE94" t="s">
        <v>6</v>
      </c>
      <c r="DF94">
        <f t="shared" si="22"/>
        <v>0</v>
      </c>
      <c r="DG94">
        <f t="shared" si="21"/>
        <v>9</v>
      </c>
      <c r="DH94">
        <f>Source!I75*SmtRes!Y94</f>
        <v>9.4280000000000017E-2</v>
      </c>
      <c r="DI94">
        <f>AB94</f>
        <v>93.37</v>
      </c>
      <c r="DJ94">
        <f>EtalonRes!Z94</f>
        <v>93.37</v>
      </c>
      <c r="DK94">
        <f>Source!BB75</f>
        <v>1</v>
      </c>
      <c r="DL94" t="s">
        <v>6</v>
      </c>
      <c r="DM94">
        <v>0</v>
      </c>
      <c r="DN94" t="s">
        <v>6</v>
      </c>
      <c r="DO94">
        <v>0</v>
      </c>
      <c r="GQ94">
        <v>-1</v>
      </c>
      <c r="GR94">
        <v>-1</v>
      </c>
    </row>
    <row r="95" spans="1:200" x14ac:dyDescent="0.2">
      <c r="A95">
        <f>ROW(Source!A75)</f>
        <v>75</v>
      </c>
      <c r="B95">
        <v>74242616</v>
      </c>
      <c r="C95">
        <v>74242835</v>
      </c>
      <c r="D95">
        <v>27371543</v>
      </c>
      <c r="E95">
        <v>1</v>
      </c>
      <c r="F95">
        <v>1</v>
      </c>
      <c r="G95">
        <v>1</v>
      </c>
      <c r="H95">
        <v>3</v>
      </c>
      <c r="I95" t="s">
        <v>31</v>
      </c>
      <c r="J95" t="s">
        <v>34</v>
      </c>
      <c r="K95" t="s">
        <v>32</v>
      </c>
      <c r="L95">
        <v>1346</v>
      </c>
      <c r="N95">
        <v>1009</v>
      </c>
      <c r="O95" t="s">
        <v>33</v>
      </c>
      <c r="P95" t="s">
        <v>33</v>
      </c>
      <c r="Q95">
        <v>1</v>
      </c>
      <c r="W95">
        <v>0</v>
      </c>
      <c r="X95">
        <v>-386994921</v>
      </c>
      <c r="Y95">
        <f t="shared" si="16"/>
        <v>0.2</v>
      </c>
      <c r="AA95">
        <v>1.82</v>
      </c>
      <c r="AB95">
        <v>0</v>
      </c>
      <c r="AC95">
        <v>0</v>
      </c>
      <c r="AD95">
        <v>0</v>
      </c>
      <c r="AE95">
        <v>1.82</v>
      </c>
      <c r="AF95">
        <v>0</v>
      </c>
      <c r="AG95">
        <v>0</v>
      </c>
      <c r="AH95">
        <v>0</v>
      </c>
      <c r="AI95">
        <v>1</v>
      </c>
      <c r="AJ95">
        <v>1</v>
      </c>
      <c r="AK95">
        <v>1</v>
      </c>
      <c r="AL95">
        <v>1</v>
      </c>
      <c r="AM95">
        <v>0</v>
      </c>
      <c r="AN95">
        <v>0</v>
      </c>
      <c r="AO95">
        <v>0</v>
      </c>
      <c r="AP95">
        <v>1</v>
      </c>
      <c r="AQ95">
        <v>0</v>
      </c>
      <c r="AR95">
        <v>0</v>
      </c>
      <c r="AS95" t="s">
        <v>6</v>
      </c>
      <c r="AT95">
        <v>0.2</v>
      </c>
      <c r="AU95" t="s">
        <v>6</v>
      </c>
      <c r="AV95">
        <v>0</v>
      </c>
      <c r="AW95">
        <v>2</v>
      </c>
      <c r="AX95">
        <v>74242846</v>
      </c>
      <c r="AY95">
        <v>1</v>
      </c>
      <c r="AZ95">
        <v>0</v>
      </c>
      <c r="BA95">
        <v>95</v>
      </c>
      <c r="BB95">
        <v>3</v>
      </c>
      <c r="BC95">
        <v>0</v>
      </c>
      <c r="BD95">
        <v>0</v>
      </c>
      <c r="BE95">
        <v>0</v>
      </c>
      <c r="BF95">
        <v>0</v>
      </c>
      <c r="BG95">
        <v>0</v>
      </c>
      <c r="BH95">
        <v>0</v>
      </c>
      <c r="BI95">
        <v>0</v>
      </c>
      <c r="BJ95">
        <v>0</v>
      </c>
      <c r="BK95">
        <v>0</v>
      </c>
      <c r="BL95">
        <v>0</v>
      </c>
      <c r="BM95">
        <v>0</v>
      </c>
      <c r="BN95">
        <v>0</v>
      </c>
      <c r="BO95">
        <v>0</v>
      </c>
      <c r="BP95">
        <v>0</v>
      </c>
      <c r="BQ95">
        <v>0</v>
      </c>
      <c r="BR95">
        <v>0</v>
      </c>
      <c r="BS95">
        <v>0</v>
      </c>
      <c r="BT95">
        <v>0</v>
      </c>
      <c r="BU95">
        <v>0</v>
      </c>
      <c r="BV95">
        <v>0</v>
      </c>
      <c r="BW95">
        <v>0</v>
      </c>
      <c r="CV95">
        <v>0</v>
      </c>
      <c r="CW95">
        <v>0</v>
      </c>
      <c r="CX95">
        <f>ROUND(Y95*Source!I75,9)</f>
        <v>0.94279999999999997</v>
      </c>
      <c r="CY95">
        <f>AA95</f>
        <v>1.82</v>
      </c>
      <c r="CZ95">
        <f>AE95</f>
        <v>1.82</v>
      </c>
      <c r="DA95">
        <f>AI95</f>
        <v>1</v>
      </c>
      <c r="DB95">
        <f t="shared" si="17"/>
        <v>0.36</v>
      </c>
      <c r="DC95">
        <f t="shared" si="18"/>
        <v>0</v>
      </c>
      <c r="DD95" t="s">
        <v>6</v>
      </c>
      <c r="DE95" t="s">
        <v>6</v>
      </c>
      <c r="DF95">
        <f t="shared" si="22"/>
        <v>2</v>
      </c>
      <c r="DG95">
        <f t="shared" si="21"/>
        <v>0</v>
      </c>
      <c r="DH95">
        <f>Source!I75*SmtRes!Y95</f>
        <v>0.94280000000000008</v>
      </c>
      <c r="DI95">
        <f>AA95</f>
        <v>1.82</v>
      </c>
      <c r="DJ95">
        <f>EtalonRes!Y95</f>
        <v>1.82</v>
      </c>
      <c r="DK95">
        <f>Source!BC75</f>
        <v>1</v>
      </c>
      <c r="DL95" t="s">
        <v>6</v>
      </c>
      <c r="DM95">
        <v>0</v>
      </c>
      <c r="DN95" t="s">
        <v>6</v>
      </c>
      <c r="DO95">
        <v>0</v>
      </c>
      <c r="GP95">
        <v>1</v>
      </c>
      <c r="GQ95">
        <v>-1</v>
      </c>
      <c r="GR95">
        <v>-1</v>
      </c>
    </row>
    <row r="96" spans="1:200" x14ac:dyDescent="0.2">
      <c r="A96">
        <f>ROW(Source!A75)</f>
        <v>75</v>
      </c>
      <c r="B96">
        <v>74242616</v>
      </c>
      <c r="C96">
        <v>74242835</v>
      </c>
      <c r="D96">
        <v>27373307</v>
      </c>
      <c r="E96">
        <v>1</v>
      </c>
      <c r="F96">
        <v>1</v>
      </c>
      <c r="G96">
        <v>1</v>
      </c>
      <c r="H96">
        <v>3</v>
      </c>
      <c r="I96" t="s">
        <v>105</v>
      </c>
      <c r="J96" t="s">
        <v>107</v>
      </c>
      <c r="K96" t="s">
        <v>106</v>
      </c>
      <c r="L96">
        <v>1348</v>
      </c>
      <c r="N96">
        <v>1009</v>
      </c>
      <c r="O96" t="s">
        <v>44</v>
      </c>
      <c r="P96" t="s">
        <v>44</v>
      </c>
      <c r="Q96">
        <v>1000</v>
      </c>
      <c r="W96">
        <v>0</v>
      </c>
      <c r="X96">
        <v>-960782185</v>
      </c>
      <c r="Y96">
        <f t="shared" si="16"/>
        <v>4.2500000000000003E-2</v>
      </c>
      <c r="AA96">
        <v>30737.73</v>
      </c>
      <c r="AB96">
        <v>0</v>
      </c>
      <c r="AC96">
        <v>0</v>
      </c>
      <c r="AD96">
        <v>0</v>
      </c>
      <c r="AE96">
        <v>30737.73</v>
      </c>
      <c r="AF96">
        <v>0</v>
      </c>
      <c r="AG96">
        <v>0</v>
      </c>
      <c r="AH96">
        <v>0</v>
      </c>
      <c r="AI96">
        <v>1</v>
      </c>
      <c r="AJ96">
        <v>1</v>
      </c>
      <c r="AK96">
        <v>1</v>
      </c>
      <c r="AL96">
        <v>1</v>
      </c>
      <c r="AM96">
        <v>0</v>
      </c>
      <c r="AN96">
        <v>0</v>
      </c>
      <c r="AO96">
        <v>0</v>
      </c>
      <c r="AP96">
        <v>0</v>
      </c>
      <c r="AQ96">
        <v>0</v>
      </c>
      <c r="AR96">
        <v>0</v>
      </c>
      <c r="AS96" t="s">
        <v>6</v>
      </c>
      <c r="AT96">
        <v>4.2500000000000003E-2</v>
      </c>
      <c r="AU96" t="s">
        <v>6</v>
      </c>
      <c r="AV96">
        <v>0</v>
      </c>
      <c r="AW96">
        <v>1</v>
      </c>
      <c r="AX96">
        <v>-1</v>
      </c>
      <c r="AY96">
        <v>0</v>
      </c>
      <c r="AZ96">
        <v>0</v>
      </c>
      <c r="BA96" t="s">
        <v>6</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CV96">
        <v>0</v>
      </c>
      <c r="CW96">
        <v>0</v>
      </c>
      <c r="CX96">
        <f>ROUND(Y96*Source!I75,9)</f>
        <v>0.200345</v>
      </c>
      <c r="CY96">
        <f>AA96</f>
        <v>30737.73</v>
      </c>
      <c r="CZ96">
        <f>AE96</f>
        <v>30737.73</v>
      </c>
      <c r="DA96">
        <f>AI96</f>
        <v>1</v>
      </c>
      <c r="DB96">
        <f t="shared" si="17"/>
        <v>1306.3499999999999</v>
      </c>
      <c r="DC96">
        <f t="shared" si="18"/>
        <v>0</v>
      </c>
      <c r="DD96" t="s">
        <v>6</v>
      </c>
      <c r="DE96" t="s">
        <v>6</v>
      </c>
      <c r="DF96">
        <f t="shared" si="22"/>
        <v>6158</v>
      </c>
      <c r="DG96">
        <f t="shared" si="21"/>
        <v>0</v>
      </c>
      <c r="DH96">
        <f>Source!I75*SmtRes!Y96</f>
        <v>0.20034500000000002</v>
      </c>
      <c r="DI96">
        <f>AA96</f>
        <v>30737.73</v>
      </c>
      <c r="DJ96">
        <f>DF96</f>
        <v>6158</v>
      </c>
      <c r="DK96">
        <f>Source!BC75</f>
        <v>1</v>
      </c>
      <c r="DL96" t="s">
        <v>6</v>
      </c>
      <c r="DM96">
        <v>0</v>
      </c>
      <c r="DN96" t="s">
        <v>6</v>
      </c>
      <c r="DO96">
        <v>0</v>
      </c>
      <c r="GP96">
        <v>1</v>
      </c>
      <c r="GQ96">
        <v>-1</v>
      </c>
      <c r="GR96">
        <v>-1</v>
      </c>
    </row>
    <row r="97" spans="1:200" x14ac:dyDescent="0.2">
      <c r="A97">
        <f>ROW(Source!A76)</f>
        <v>76</v>
      </c>
      <c r="B97">
        <v>74242617</v>
      </c>
      <c r="C97">
        <v>74242835</v>
      </c>
      <c r="D97">
        <v>27499237</v>
      </c>
      <c r="E97">
        <v>1</v>
      </c>
      <c r="F97">
        <v>1</v>
      </c>
      <c r="G97">
        <v>1</v>
      </c>
      <c r="H97">
        <v>1</v>
      </c>
      <c r="I97" t="s">
        <v>247</v>
      </c>
      <c r="J97" t="s">
        <v>6</v>
      </c>
      <c r="K97" t="s">
        <v>248</v>
      </c>
      <c r="L97">
        <v>1369</v>
      </c>
      <c r="N97">
        <v>1013</v>
      </c>
      <c r="O97" t="s">
        <v>249</v>
      </c>
      <c r="P97" t="s">
        <v>249</v>
      </c>
      <c r="Q97">
        <v>1</v>
      </c>
      <c r="W97">
        <v>0</v>
      </c>
      <c r="X97">
        <v>2106676593</v>
      </c>
      <c r="Y97">
        <f t="shared" ref="Y97:Y102" si="23">AT97</f>
        <v>16.32</v>
      </c>
      <c r="AA97">
        <v>0</v>
      </c>
      <c r="AB97">
        <v>0</v>
      </c>
      <c r="AC97">
        <v>0</v>
      </c>
      <c r="AD97">
        <v>335.62</v>
      </c>
      <c r="AE97">
        <v>0</v>
      </c>
      <c r="AF97">
        <v>0</v>
      </c>
      <c r="AG97">
        <v>0</v>
      </c>
      <c r="AH97">
        <v>9.6999999999999993</v>
      </c>
      <c r="AI97">
        <v>1</v>
      </c>
      <c r="AJ97">
        <v>1</v>
      </c>
      <c r="AK97">
        <v>1</v>
      </c>
      <c r="AL97">
        <v>34.6</v>
      </c>
      <c r="AM97">
        <v>5</v>
      </c>
      <c r="AN97">
        <v>0</v>
      </c>
      <c r="AO97">
        <v>1</v>
      </c>
      <c r="AP97">
        <v>0</v>
      </c>
      <c r="AQ97">
        <v>0</v>
      </c>
      <c r="AR97">
        <v>0</v>
      </c>
      <c r="AS97" t="s">
        <v>6</v>
      </c>
      <c r="AT97">
        <v>16.32</v>
      </c>
      <c r="AU97" t="s">
        <v>6</v>
      </c>
      <c r="AV97">
        <v>1</v>
      </c>
      <c r="AW97">
        <v>2</v>
      </c>
      <c r="AX97">
        <v>74242842</v>
      </c>
      <c r="AY97">
        <v>1</v>
      </c>
      <c r="AZ97">
        <v>0</v>
      </c>
      <c r="BA97">
        <v>97</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0</v>
      </c>
      <c r="BW97">
        <v>0</v>
      </c>
      <c r="CU97">
        <f>ROUND(AT97*Source!I76*AH97*AL97,0)</f>
        <v>25820</v>
      </c>
      <c r="CV97">
        <f>ROUND(Y97*Source!I76,9)</f>
        <v>76.932479999999998</v>
      </c>
      <c r="CW97">
        <v>0</v>
      </c>
      <c r="CX97">
        <f>ROUND(Y97*Source!I76,9)</f>
        <v>76.932479999999998</v>
      </c>
      <c r="CY97">
        <f>AD97</f>
        <v>335.62</v>
      </c>
      <c r="CZ97">
        <f>AH97</f>
        <v>9.6999999999999993</v>
      </c>
      <c r="DA97">
        <f>AL97</f>
        <v>34.6</v>
      </c>
      <c r="DB97">
        <f t="shared" ref="DB97:DB102" si="24">ROUND(ROUND(AT97*CZ97,2),2)</f>
        <v>158.30000000000001</v>
      </c>
      <c r="DC97">
        <f t="shared" ref="DC97:DC102" si="25">ROUND(ROUND(AT97*AG97,2),2)</f>
        <v>0</v>
      </c>
      <c r="DD97" t="s">
        <v>6</v>
      </c>
      <c r="DE97" t="s">
        <v>6</v>
      </c>
      <c r="DF97">
        <f t="shared" si="22"/>
        <v>0</v>
      </c>
      <c r="DG97">
        <f t="shared" si="21"/>
        <v>0</v>
      </c>
      <c r="DH97">
        <f>Source!I76*SmtRes!Y97</f>
        <v>76.932480000000012</v>
      </c>
      <c r="DI97">
        <f>AD97</f>
        <v>335.62</v>
      </c>
      <c r="DJ97">
        <f>EtalonRes!AB97</f>
        <v>9.6999999999999993</v>
      </c>
      <c r="DK97">
        <f>Source!BA76</f>
        <v>34.6</v>
      </c>
      <c r="DL97" t="s">
        <v>6</v>
      </c>
      <c r="DM97">
        <v>0</v>
      </c>
      <c r="DN97" t="s">
        <v>6</v>
      </c>
      <c r="DO97">
        <v>0</v>
      </c>
      <c r="GQ97">
        <v>-1</v>
      </c>
      <c r="GR97">
        <v>-1</v>
      </c>
    </row>
    <row r="98" spans="1:200" x14ac:dyDescent="0.2">
      <c r="A98">
        <f>ROW(Source!A76)</f>
        <v>76</v>
      </c>
      <c r="B98">
        <v>74242617</v>
      </c>
      <c r="C98">
        <v>74242835</v>
      </c>
      <c r="D98">
        <v>121548</v>
      </c>
      <c r="E98">
        <v>1</v>
      </c>
      <c r="F98">
        <v>1</v>
      </c>
      <c r="G98">
        <v>1</v>
      </c>
      <c r="H98">
        <v>1</v>
      </c>
      <c r="I98" t="s">
        <v>40</v>
      </c>
      <c r="J98" t="s">
        <v>6</v>
      </c>
      <c r="K98" t="s">
        <v>250</v>
      </c>
      <c r="L98">
        <v>608254</v>
      </c>
      <c r="N98">
        <v>1013</v>
      </c>
      <c r="O98" t="s">
        <v>251</v>
      </c>
      <c r="P98" t="s">
        <v>251</v>
      </c>
      <c r="Q98">
        <v>1</v>
      </c>
      <c r="W98">
        <v>0</v>
      </c>
      <c r="X98">
        <v>-185737400</v>
      </c>
      <c r="Y98">
        <f t="shared" si="23"/>
        <v>0.01</v>
      </c>
      <c r="AA98">
        <v>0</v>
      </c>
      <c r="AB98">
        <v>0</v>
      </c>
      <c r="AC98">
        <v>0</v>
      </c>
      <c r="AD98">
        <v>0</v>
      </c>
      <c r="AE98">
        <v>0</v>
      </c>
      <c r="AF98">
        <v>0</v>
      </c>
      <c r="AG98">
        <v>0</v>
      </c>
      <c r="AH98">
        <v>0</v>
      </c>
      <c r="AI98">
        <v>1</v>
      </c>
      <c r="AJ98">
        <v>1</v>
      </c>
      <c r="AK98">
        <v>30.1</v>
      </c>
      <c r="AL98">
        <v>1</v>
      </c>
      <c r="AM98">
        <v>5</v>
      </c>
      <c r="AN98">
        <v>0</v>
      </c>
      <c r="AO98">
        <v>1</v>
      </c>
      <c r="AP98">
        <v>0</v>
      </c>
      <c r="AQ98">
        <v>0</v>
      </c>
      <c r="AR98">
        <v>0</v>
      </c>
      <c r="AS98" t="s">
        <v>6</v>
      </c>
      <c r="AT98">
        <v>0.01</v>
      </c>
      <c r="AU98" t="s">
        <v>6</v>
      </c>
      <c r="AV98">
        <v>2</v>
      </c>
      <c r="AW98">
        <v>2</v>
      </c>
      <c r="AX98">
        <v>74242843</v>
      </c>
      <c r="AY98">
        <v>1</v>
      </c>
      <c r="AZ98">
        <v>0</v>
      </c>
      <c r="BA98">
        <v>98</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CV98">
        <v>0</v>
      </c>
      <c r="CW98">
        <v>0</v>
      </c>
      <c r="CX98">
        <f>ROUND(Y98*Source!I76,9)</f>
        <v>4.7140000000000001E-2</v>
      </c>
      <c r="CY98">
        <f>AD98</f>
        <v>0</v>
      </c>
      <c r="CZ98">
        <f>AH98</f>
        <v>0</v>
      </c>
      <c r="DA98">
        <f>AL98</f>
        <v>1</v>
      </c>
      <c r="DB98">
        <f t="shared" si="24"/>
        <v>0</v>
      </c>
      <c r="DC98">
        <f t="shared" si="25"/>
        <v>0</v>
      </c>
      <c r="DD98" t="s">
        <v>6</v>
      </c>
      <c r="DE98" t="s">
        <v>6</v>
      </c>
      <c r="DF98">
        <f t="shared" si="22"/>
        <v>0</v>
      </c>
      <c r="DG98">
        <f t="shared" si="21"/>
        <v>0</v>
      </c>
      <c r="DH98">
        <f>Source!I76*SmtRes!Y98</f>
        <v>4.7140000000000008E-2</v>
      </c>
      <c r="DI98">
        <f>AD98</f>
        <v>0</v>
      </c>
      <c r="DJ98">
        <f>EtalonRes!AB98</f>
        <v>0</v>
      </c>
      <c r="DK98">
        <f>Source!BA76</f>
        <v>34.6</v>
      </c>
      <c r="DL98" t="s">
        <v>6</v>
      </c>
      <c r="DM98">
        <v>0</v>
      </c>
      <c r="DN98" t="s">
        <v>6</v>
      </c>
      <c r="DO98">
        <v>0</v>
      </c>
      <c r="GQ98">
        <v>-1</v>
      </c>
      <c r="GR98">
        <v>-1</v>
      </c>
    </row>
    <row r="99" spans="1:200" x14ac:dyDescent="0.2">
      <c r="A99">
        <f>ROW(Source!A76)</f>
        <v>76</v>
      </c>
      <c r="B99">
        <v>74242617</v>
      </c>
      <c r="C99">
        <v>74242835</v>
      </c>
      <c r="D99">
        <v>27439630</v>
      </c>
      <c r="E99">
        <v>1</v>
      </c>
      <c r="F99">
        <v>1</v>
      </c>
      <c r="G99">
        <v>1</v>
      </c>
      <c r="H99">
        <v>2</v>
      </c>
      <c r="I99" t="s">
        <v>252</v>
      </c>
      <c r="J99" t="s">
        <v>253</v>
      </c>
      <c r="K99" t="s">
        <v>254</v>
      </c>
      <c r="L99">
        <v>1368</v>
      </c>
      <c r="N99">
        <v>1011</v>
      </c>
      <c r="O99" t="s">
        <v>255</v>
      </c>
      <c r="P99" t="s">
        <v>255</v>
      </c>
      <c r="Q99">
        <v>1</v>
      </c>
      <c r="W99">
        <v>0</v>
      </c>
      <c r="X99">
        <v>-72110300</v>
      </c>
      <c r="Y99">
        <f t="shared" si="23"/>
        <v>0.01</v>
      </c>
      <c r="AA99">
        <v>0</v>
      </c>
      <c r="AB99">
        <v>399.32</v>
      </c>
      <c r="AC99">
        <v>409.66</v>
      </c>
      <c r="AD99">
        <v>0</v>
      </c>
      <c r="AE99">
        <v>0</v>
      </c>
      <c r="AF99">
        <v>31.27</v>
      </c>
      <c r="AG99">
        <v>13.61</v>
      </c>
      <c r="AH99">
        <v>0</v>
      </c>
      <c r="AI99">
        <v>1</v>
      </c>
      <c r="AJ99">
        <v>12.77</v>
      </c>
      <c r="AK99">
        <v>30.1</v>
      </c>
      <c r="AL99">
        <v>1</v>
      </c>
      <c r="AM99">
        <v>5</v>
      </c>
      <c r="AN99">
        <v>0</v>
      </c>
      <c r="AO99">
        <v>1</v>
      </c>
      <c r="AP99">
        <v>0</v>
      </c>
      <c r="AQ99">
        <v>0</v>
      </c>
      <c r="AR99">
        <v>0</v>
      </c>
      <c r="AS99" t="s">
        <v>6</v>
      </c>
      <c r="AT99">
        <v>0.01</v>
      </c>
      <c r="AU99" t="s">
        <v>6</v>
      </c>
      <c r="AV99">
        <v>0</v>
      </c>
      <c r="AW99">
        <v>2</v>
      </c>
      <c r="AX99">
        <v>74242844</v>
      </c>
      <c r="AY99">
        <v>1</v>
      </c>
      <c r="AZ99">
        <v>0</v>
      </c>
      <c r="BA99">
        <v>99</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0</v>
      </c>
      <c r="BW99">
        <v>0</v>
      </c>
      <c r="CV99">
        <v>0</v>
      </c>
      <c r="CW99">
        <f>ROUND(Y99*Source!I76*DO99,9)</f>
        <v>0</v>
      </c>
      <c r="CX99">
        <f>ROUND(Y99*Source!I76,9)</f>
        <v>4.7140000000000001E-2</v>
      </c>
      <c r="CY99">
        <f>AB99</f>
        <v>399.32</v>
      </c>
      <c r="CZ99">
        <f>AF99</f>
        <v>31.27</v>
      </c>
      <c r="DA99">
        <f>AJ99</f>
        <v>12.77</v>
      </c>
      <c r="DB99">
        <f t="shared" si="24"/>
        <v>0.31</v>
      </c>
      <c r="DC99">
        <f t="shared" si="25"/>
        <v>0.14000000000000001</v>
      </c>
      <c r="DD99" t="s">
        <v>6</v>
      </c>
      <c r="DE99" t="s">
        <v>6</v>
      </c>
      <c r="DF99">
        <f t="shared" si="22"/>
        <v>0</v>
      </c>
      <c r="DG99">
        <f>ROUND(ROUND(AF99*AJ99,0)*CX99,0)</f>
        <v>19</v>
      </c>
      <c r="DH99">
        <f>Source!I76*SmtRes!Y99</f>
        <v>4.7140000000000008E-2</v>
      </c>
      <c r="DI99">
        <f>AB99</f>
        <v>399.32</v>
      </c>
      <c r="DJ99">
        <f>EtalonRes!Z99</f>
        <v>31.27</v>
      </c>
      <c r="DK99">
        <f>Source!BB76</f>
        <v>12.77</v>
      </c>
      <c r="DL99" t="s">
        <v>6</v>
      </c>
      <c r="DM99">
        <v>0</v>
      </c>
      <c r="DN99" t="s">
        <v>6</v>
      </c>
      <c r="DO99">
        <v>0</v>
      </c>
      <c r="GQ99">
        <v>-1</v>
      </c>
      <c r="GR99">
        <v>-1</v>
      </c>
    </row>
    <row r="100" spans="1:200" x14ac:dyDescent="0.2">
      <c r="A100">
        <f>ROW(Source!A76)</f>
        <v>76</v>
      </c>
      <c r="B100">
        <v>74242617</v>
      </c>
      <c r="C100">
        <v>74242835</v>
      </c>
      <c r="D100">
        <v>27441327</v>
      </c>
      <c r="E100">
        <v>1</v>
      </c>
      <c r="F100">
        <v>1</v>
      </c>
      <c r="G100">
        <v>1</v>
      </c>
      <c r="H100">
        <v>2</v>
      </c>
      <c r="I100" t="s">
        <v>256</v>
      </c>
      <c r="J100" t="s">
        <v>257</v>
      </c>
      <c r="K100" t="s">
        <v>258</v>
      </c>
      <c r="L100">
        <v>1368</v>
      </c>
      <c r="N100">
        <v>1011</v>
      </c>
      <c r="O100" t="s">
        <v>255</v>
      </c>
      <c r="P100" t="s">
        <v>255</v>
      </c>
      <c r="Q100">
        <v>1</v>
      </c>
      <c r="W100">
        <v>0</v>
      </c>
      <c r="X100">
        <v>-1583389094</v>
      </c>
      <c r="Y100">
        <f t="shared" si="23"/>
        <v>0.02</v>
      </c>
      <c r="AA100">
        <v>0</v>
      </c>
      <c r="AB100">
        <v>1192.33</v>
      </c>
      <c r="AC100">
        <v>351.87</v>
      </c>
      <c r="AD100">
        <v>0</v>
      </c>
      <c r="AE100">
        <v>0</v>
      </c>
      <c r="AF100">
        <v>93.37</v>
      </c>
      <c r="AG100">
        <v>11.69</v>
      </c>
      <c r="AH100">
        <v>0</v>
      </c>
      <c r="AI100">
        <v>1</v>
      </c>
      <c r="AJ100">
        <v>12.77</v>
      </c>
      <c r="AK100">
        <v>30.1</v>
      </c>
      <c r="AL100">
        <v>1</v>
      </c>
      <c r="AM100">
        <v>5</v>
      </c>
      <c r="AN100">
        <v>0</v>
      </c>
      <c r="AO100">
        <v>1</v>
      </c>
      <c r="AP100">
        <v>0</v>
      </c>
      <c r="AQ100">
        <v>0</v>
      </c>
      <c r="AR100">
        <v>0</v>
      </c>
      <c r="AS100" t="s">
        <v>6</v>
      </c>
      <c r="AT100">
        <v>0.02</v>
      </c>
      <c r="AU100" t="s">
        <v>6</v>
      </c>
      <c r="AV100">
        <v>0</v>
      </c>
      <c r="AW100">
        <v>2</v>
      </c>
      <c r="AX100">
        <v>74242845</v>
      </c>
      <c r="AY100">
        <v>1</v>
      </c>
      <c r="AZ100">
        <v>0</v>
      </c>
      <c r="BA100">
        <v>100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v>
      </c>
      <c r="BV100">
        <v>0</v>
      </c>
      <c r="BW100">
        <v>0</v>
      </c>
      <c r="CV100">
        <v>0</v>
      </c>
      <c r="CW100">
        <f>ROUND(Y100*Source!I76*DO100,9)</f>
        <v>0</v>
      </c>
      <c r="CX100">
        <f>ROUND(Y100*Source!I76,9)</f>
        <v>9.4280000000000003E-2</v>
      </c>
      <c r="CY100">
        <f>AB100</f>
        <v>1192.33</v>
      </c>
      <c r="CZ100">
        <f>AF100</f>
        <v>93.37</v>
      </c>
      <c r="DA100">
        <f>AJ100</f>
        <v>12.77</v>
      </c>
      <c r="DB100">
        <f t="shared" si="24"/>
        <v>1.87</v>
      </c>
      <c r="DC100">
        <f t="shared" si="25"/>
        <v>0.23</v>
      </c>
      <c r="DD100" t="s">
        <v>6</v>
      </c>
      <c r="DE100" t="s">
        <v>6</v>
      </c>
      <c r="DF100">
        <f t="shared" si="22"/>
        <v>0</v>
      </c>
      <c r="DG100">
        <f>ROUND(ROUND(AF100*AJ100,0)*CX100,0)</f>
        <v>112</v>
      </c>
      <c r="DH100">
        <f>Source!I76*SmtRes!Y100</f>
        <v>9.4280000000000017E-2</v>
      </c>
      <c r="DI100">
        <f>AB100</f>
        <v>1192.33</v>
      </c>
      <c r="DJ100">
        <f>EtalonRes!Z100</f>
        <v>93.37</v>
      </c>
      <c r="DK100">
        <f>Source!BB76</f>
        <v>12.77</v>
      </c>
      <c r="DL100" t="s">
        <v>6</v>
      </c>
      <c r="DM100">
        <v>0</v>
      </c>
      <c r="DN100" t="s">
        <v>6</v>
      </c>
      <c r="DO100">
        <v>0</v>
      </c>
      <c r="GQ100">
        <v>-1</v>
      </c>
      <c r="GR100">
        <v>-1</v>
      </c>
    </row>
    <row r="101" spans="1:200" x14ac:dyDescent="0.2">
      <c r="A101">
        <f>ROW(Source!A76)</f>
        <v>76</v>
      </c>
      <c r="B101">
        <v>74242617</v>
      </c>
      <c r="C101">
        <v>74242835</v>
      </c>
      <c r="D101">
        <v>27371543</v>
      </c>
      <c r="E101">
        <v>1</v>
      </c>
      <c r="F101">
        <v>1</v>
      </c>
      <c r="G101">
        <v>1</v>
      </c>
      <c r="H101">
        <v>3</v>
      </c>
      <c r="I101" t="s">
        <v>31</v>
      </c>
      <c r="J101" t="s">
        <v>34</v>
      </c>
      <c r="K101" t="s">
        <v>32</v>
      </c>
      <c r="L101">
        <v>1346</v>
      </c>
      <c r="N101">
        <v>1009</v>
      </c>
      <c r="O101" t="s">
        <v>33</v>
      </c>
      <c r="P101" t="s">
        <v>33</v>
      </c>
      <c r="Q101">
        <v>1</v>
      </c>
      <c r="W101">
        <v>0</v>
      </c>
      <c r="X101">
        <v>-386994921</v>
      </c>
      <c r="Y101">
        <f t="shared" si="23"/>
        <v>0.2</v>
      </c>
      <c r="AA101">
        <v>31</v>
      </c>
      <c r="AB101">
        <v>0</v>
      </c>
      <c r="AC101">
        <v>0</v>
      </c>
      <c r="AD101">
        <v>0</v>
      </c>
      <c r="AE101">
        <v>4.2799999999999994</v>
      </c>
      <c r="AF101">
        <v>0</v>
      </c>
      <c r="AG101">
        <v>0</v>
      </c>
      <c r="AH101">
        <v>0</v>
      </c>
      <c r="AI101">
        <v>7.56</v>
      </c>
      <c r="AJ101">
        <v>1</v>
      </c>
      <c r="AK101">
        <v>1</v>
      </c>
      <c r="AL101">
        <v>1</v>
      </c>
      <c r="AM101">
        <v>0</v>
      </c>
      <c r="AN101">
        <v>0</v>
      </c>
      <c r="AO101">
        <v>0</v>
      </c>
      <c r="AP101">
        <v>1</v>
      </c>
      <c r="AQ101">
        <v>0</v>
      </c>
      <c r="AR101">
        <v>0</v>
      </c>
      <c r="AS101" t="s">
        <v>6</v>
      </c>
      <c r="AT101">
        <v>0.2</v>
      </c>
      <c r="AU101" t="s">
        <v>6</v>
      </c>
      <c r="AV101">
        <v>0</v>
      </c>
      <c r="AW101">
        <v>2</v>
      </c>
      <c r="AX101">
        <v>74242846</v>
      </c>
      <c r="AY101">
        <v>1</v>
      </c>
      <c r="AZ101">
        <v>16384</v>
      </c>
      <c r="BA101">
        <v>101</v>
      </c>
      <c r="BB101">
        <v>3</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CV101">
        <v>0</v>
      </c>
      <c r="CW101">
        <v>0</v>
      </c>
      <c r="CX101">
        <f>ROUND(Y101*Source!I76,9)</f>
        <v>0.94279999999999997</v>
      </c>
      <c r="CY101">
        <f>AA101</f>
        <v>31</v>
      </c>
      <c r="CZ101">
        <f>AE101</f>
        <v>4.2799999999999994</v>
      </c>
      <c r="DA101">
        <f>AI101</f>
        <v>7.56</v>
      </c>
      <c r="DB101">
        <f t="shared" si="24"/>
        <v>0.86</v>
      </c>
      <c r="DC101">
        <f t="shared" si="25"/>
        <v>0</v>
      </c>
      <c r="DD101" t="s">
        <v>6</v>
      </c>
      <c r="DE101" t="s">
        <v>6</v>
      </c>
      <c r="DF101">
        <f>ROUND(ROUND(AE101*AI101,0)*CX101,0)</f>
        <v>30</v>
      </c>
      <c r="DG101">
        <f>ROUND(ROUND(AF101,0)*CX101,0)</f>
        <v>0</v>
      </c>
      <c r="DH101">
        <f>Source!I76*SmtRes!Y101</f>
        <v>0.94280000000000008</v>
      </c>
      <c r="DI101">
        <f>AA101</f>
        <v>31</v>
      </c>
      <c r="DJ101">
        <f>EtalonRes!Y101</f>
        <v>1.82</v>
      </c>
      <c r="DK101">
        <f>Source!BC76</f>
        <v>7.56</v>
      </c>
      <c r="DL101" t="s">
        <v>6</v>
      </c>
      <c r="DM101">
        <v>0</v>
      </c>
      <c r="DN101" t="s">
        <v>6</v>
      </c>
      <c r="DO101">
        <v>0</v>
      </c>
      <c r="GP101">
        <v>1</v>
      </c>
      <c r="GQ101">
        <v>-1</v>
      </c>
      <c r="GR101">
        <v>-1</v>
      </c>
    </row>
    <row r="102" spans="1:200" x14ac:dyDescent="0.2">
      <c r="A102">
        <f>ROW(Source!A76)</f>
        <v>76</v>
      </c>
      <c r="B102">
        <v>74242617</v>
      </c>
      <c r="C102">
        <v>74242835</v>
      </c>
      <c r="D102">
        <v>27373307</v>
      </c>
      <c r="E102">
        <v>1</v>
      </c>
      <c r="F102">
        <v>1</v>
      </c>
      <c r="G102">
        <v>1</v>
      </c>
      <c r="H102">
        <v>3</v>
      </c>
      <c r="I102" t="s">
        <v>105</v>
      </c>
      <c r="J102" t="s">
        <v>107</v>
      </c>
      <c r="K102" t="s">
        <v>106</v>
      </c>
      <c r="L102">
        <v>1348</v>
      </c>
      <c r="N102">
        <v>1009</v>
      </c>
      <c r="O102" t="s">
        <v>44</v>
      </c>
      <c r="P102" t="s">
        <v>44</v>
      </c>
      <c r="Q102">
        <v>1000</v>
      </c>
      <c r="W102">
        <v>0</v>
      </c>
      <c r="X102">
        <v>-960782185</v>
      </c>
      <c r="Y102">
        <f t="shared" si="23"/>
        <v>4.2500000000000003E-2</v>
      </c>
      <c r="AA102">
        <v>287000</v>
      </c>
      <c r="AB102">
        <v>0</v>
      </c>
      <c r="AC102">
        <v>0</v>
      </c>
      <c r="AD102">
        <v>0</v>
      </c>
      <c r="AE102">
        <v>39690.269999999997</v>
      </c>
      <c r="AF102">
        <v>0</v>
      </c>
      <c r="AG102">
        <v>0</v>
      </c>
      <c r="AH102">
        <v>0</v>
      </c>
      <c r="AI102">
        <v>7.56</v>
      </c>
      <c r="AJ102">
        <v>1</v>
      </c>
      <c r="AK102">
        <v>1</v>
      </c>
      <c r="AL102">
        <v>1</v>
      </c>
      <c r="AM102">
        <v>0</v>
      </c>
      <c r="AN102">
        <v>0</v>
      </c>
      <c r="AO102">
        <v>0</v>
      </c>
      <c r="AP102">
        <v>0</v>
      </c>
      <c r="AQ102">
        <v>0</v>
      </c>
      <c r="AR102">
        <v>0</v>
      </c>
      <c r="AS102" t="s">
        <v>6</v>
      </c>
      <c r="AT102">
        <v>4.2500000000000003E-2</v>
      </c>
      <c r="AU102" t="s">
        <v>6</v>
      </c>
      <c r="AV102">
        <v>0</v>
      </c>
      <c r="AW102">
        <v>1</v>
      </c>
      <c r="AX102">
        <v>-1</v>
      </c>
      <c r="AY102">
        <v>0</v>
      </c>
      <c r="AZ102">
        <v>0</v>
      </c>
      <c r="BA102" t="s">
        <v>6</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CV102">
        <v>0</v>
      </c>
      <c r="CW102">
        <v>0</v>
      </c>
      <c r="CX102">
        <f>ROUND(Y102*Source!I76,9)</f>
        <v>0.200345</v>
      </c>
      <c r="CY102">
        <f>AA102</f>
        <v>287000</v>
      </c>
      <c r="CZ102">
        <f>AE102</f>
        <v>39690.269999999997</v>
      </c>
      <c r="DA102">
        <f>AI102</f>
        <v>7.56</v>
      </c>
      <c r="DB102">
        <f t="shared" si="24"/>
        <v>1686.84</v>
      </c>
      <c r="DC102">
        <f t="shared" si="25"/>
        <v>0</v>
      </c>
      <c r="DD102" t="s">
        <v>6</v>
      </c>
      <c r="DE102" t="s">
        <v>6</v>
      </c>
      <c r="DF102">
        <f>ROUND(ROUND(AE102*AI102,0)*CX102,0)</f>
        <v>60115</v>
      </c>
      <c r="DG102">
        <f>ROUND(ROUND(AF102,0)*CX102,0)</f>
        <v>0</v>
      </c>
      <c r="DH102">
        <f>Source!I76*SmtRes!Y102</f>
        <v>0.20034500000000002</v>
      </c>
      <c r="DI102">
        <f>AA102</f>
        <v>287000</v>
      </c>
      <c r="DJ102">
        <f>DF102</f>
        <v>60115</v>
      </c>
      <c r="DK102">
        <f>Source!BC76</f>
        <v>7.56</v>
      </c>
      <c r="DL102" t="s">
        <v>6</v>
      </c>
      <c r="DM102">
        <v>0</v>
      </c>
      <c r="DN102" t="s">
        <v>6</v>
      </c>
      <c r="DO102">
        <v>0</v>
      </c>
      <c r="GP102">
        <v>1</v>
      </c>
      <c r="GQ102">
        <v>-1</v>
      </c>
      <c r="GR102">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2"/>
  <sheetViews>
    <sheetView workbookViewId="0"/>
  </sheetViews>
  <sheetFormatPr defaultColWidth="9.140625" defaultRowHeight="12.75" x14ac:dyDescent="0.2"/>
  <cols>
    <col min="1" max="256" width="9.140625" customWidth="1"/>
  </cols>
  <sheetData>
    <row r="1" spans="1:44" x14ac:dyDescent="0.2">
      <c r="A1">
        <f>ROW(Source!A26)</f>
        <v>26</v>
      </c>
      <c r="B1">
        <v>74242690</v>
      </c>
      <c r="C1">
        <v>74242683</v>
      </c>
      <c r="D1">
        <v>27499237</v>
      </c>
      <c r="E1">
        <v>1</v>
      </c>
      <c r="F1">
        <v>1</v>
      </c>
      <c r="G1">
        <v>1</v>
      </c>
      <c r="H1">
        <v>1</v>
      </c>
      <c r="I1" t="s">
        <v>247</v>
      </c>
      <c r="J1" t="s">
        <v>6</v>
      </c>
      <c r="K1" t="s">
        <v>248</v>
      </c>
      <c r="L1">
        <v>1369</v>
      </c>
      <c r="N1">
        <v>1013</v>
      </c>
      <c r="O1" t="s">
        <v>249</v>
      </c>
      <c r="P1" t="s">
        <v>249</v>
      </c>
      <c r="Q1">
        <v>1</v>
      </c>
      <c r="X1">
        <v>8.1</v>
      </c>
      <c r="Y1">
        <v>0</v>
      </c>
      <c r="Z1">
        <v>0</v>
      </c>
      <c r="AA1">
        <v>0</v>
      </c>
      <c r="AB1">
        <v>9.6999999999999993</v>
      </c>
      <c r="AC1">
        <v>0</v>
      </c>
      <c r="AD1">
        <v>1</v>
      </c>
      <c r="AE1">
        <v>1</v>
      </c>
      <c r="AF1" t="s">
        <v>6</v>
      </c>
      <c r="AG1">
        <v>8.1</v>
      </c>
      <c r="AH1">
        <v>2</v>
      </c>
      <c r="AI1">
        <v>74242684</v>
      </c>
      <c r="AJ1">
        <v>1</v>
      </c>
      <c r="AK1">
        <v>0</v>
      </c>
      <c r="AL1">
        <v>0</v>
      </c>
      <c r="AM1">
        <v>0</v>
      </c>
      <c r="AN1">
        <v>0</v>
      </c>
      <c r="AO1">
        <v>0</v>
      </c>
      <c r="AP1">
        <v>0</v>
      </c>
      <c r="AQ1">
        <v>0</v>
      </c>
      <c r="AR1">
        <v>0</v>
      </c>
    </row>
    <row r="2" spans="1:44" x14ac:dyDescent="0.2">
      <c r="A2">
        <f>ROW(Source!A26)</f>
        <v>26</v>
      </c>
      <c r="B2">
        <v>74242691</v>
      </c>
      <c r="C2">
        <v>74242683</v>
      </c>
      <c r="D2">
        <v>121548</v>
      </c>
      <c r="E2">
        <v>1</v>
      </c>
      <c r="F2">
        <v>1</v>
      </c>
      <c r="G2">
        <v>1</v>
      </c>
      <c r="H2">
        <v>1</v>
      </c>
      <c r="I2" t="s">
        <v>40</v>
      </c>
      <c r="J2" t="s">
        <v>6</v>
      </c>
      <c r="K2" t="s">
        <v>250</v>
      </c>
      <c r="L2">
        <v>608254</v>
      </c>
      <c r="N2">
        <v>1013</v>
      </c>
      <c r="O2" t="s">
        <v>251</v>
      </c>
      <c r="P2" t="s">
        <v>251</v>
      </c>
      <c r="Q2">
        <v>1</v>
      </c>
      <c r="X2">
        <v>0.01</v>
      </c>
      <c r="Y2">
        <v>0</v>
      </c>
      <c r="Z2">
        <v>0</v>
      </c>
      <c r="AA2">
        <v>0</v>
      </c>
      <c r="AB2">
        <v>0</v>
      </c>
      <c r="AC2">
        <v>0</v>
      </c>
      <c r="AD2">
        <v>1</v>
      </c>
      <c r="AE2">
        <v>2</v>
      </c>
      <c r="AF2" t="s">
        <v>6</v>
      </c>
      <c r="AG2">
        <v>0.01</v>
      </c>
      <c r="AH2">
        <v>2</v>
      </c>
      <c r="AI2">
        <v>74242685</v>
      </c>
      <c r="AJ2">
        <v>2</v>
      </c>
      <c r="AK2">
        <v>0</v>
      </c>
      <c r="AL2">
        <v>0</v>
      </c>
      <c r="AM2">
        <v>0</v>
      </c>
      <c r="AN2">
        <v>0</v>
      </c>
      <c r="AO2">
        <v>0</v>
      </c>
      <c r="AP2">
        <v>0</v>
      </c>
      <c r="AQ2">
        <v>0</v>
      </c>
      <c r="AR2">
        <v>0</v>
      </c>
    </row>
    <row r="3" spans="1:44" x14ac:dyDescent="0.2">
      <c r="A3">
        <f>ROW(Source!A26)</f>
        <v>26</v>
      </c>
      <c r="B3">
        <v>74242692</v>
      </c>
      <c r="C3">
        <v>74242683</v>
      </c>
      <c r="D3">
        <v>27439630</v>
      </c>
      <c r="E3">
        <v>1</v>
      </c>
      <c r="F3">
        <v>1</v>
      </c>
      <c r="G3">
        <v>1</v>
      </c>
      <c r="H3">
        <v>2</v>
      </c>
      <c r="I3" t="s">
        <v>252</v>
      </c>
      <c r="J3" t="s">
        <v>253</v>
      </c>
      <c r="K3" t="s">
        <v>254</v>
      </c>
      <c r="L3">
        <v>1368</v>
      </c>
      <c r="N3">
        <v>1011</v>
      </c>
      <c r="O3" t="s">
        <v>255</v>
      </c>
      <c r="P3" t="s">
        <v>255</v>
      </c>
      <c r="Q3">
        <v>1</v>
      </c>
      <c r="X3">
        <v>0.01</v>
      </c>
      <c r="Y3">
        <v>0</v>
      </c>
      <c r="Z3">
        <v>31.27</v>
      </c>
      <c r="AA3">
        <v>13.61</v>
      </c>
      <c r="AB3">
        <v>0</v>
      </c>
      <c r="AC3">
        <v>0</v>
      </c>
      <c r="AD3">
        <v>1</v>
      </c>
      <c r="AE3">
        <v>0</v>
      </c>
      <c r="AF3" t="s">
        <v>6</v>
      </c>
      <c r="AG3">
        <v>0.01</v>
      </c>
      <c r="AH3">
        <v>2</v>
      </c>
      <c r="AI3">
        <v>74242686</v>
      </c>
      <c r="AJ3">
        <v>3</v>
      </c>
      <c r="AK3">
        <v>0</v>
      </c>
      <c r="AL3">
        <v>0</v>
      </c>
      <c r="AM3">
        <v>0</v>
      </c>
      <c r="AN3">
        <v>0</v>
      </c>
      <c r="AO3">
        <v>0</v>
      </c>
      <c r="AP3">
        <v>0</v>
      </c>
      <c r="AQ3">
        <v>0</v>
      </c>
      <c r="AR3">
        <v>0</v>
      </c>
    </row>
    <row r="4" spans="1:44" x14ac:dyDescent="0.2">
      <c r="A4">
        <f>ROW(Source!A26)</f>
        <v>26</v>
      </c>
      <c r="B4">
        <v>74242693</v>
      </c>
      <c r="C4">
        <v>74242683</v>
      </c>
      <c r="D4">
        <v>27441327</v>
      </c>
      <c r="E4">
        <v>1</v>
      </c>
      <c r="F4">
        <v>1</v>
      </c>
      <c r="G4">
        <v>1</v>
      </c>
      <c r="H4">
        <v>2</v>
      </c>
      <c r="I4" t="s">
        <v>256</v>
      </c>
      <c r="J4" t="s">
        <v>257</v>
      </c>
      <c r="K4" t="s">
        <v>258</v>
      </c>
      <c r="L4">
        <v>1368</v>
      </c>
      <c r="N4">
        <v>1011</v>
      </c>
      <c r="O4" t="s">
        <v>255</v>
      </c>
      <c r="P4" t="s">
        <v>255</v>
      </c>
      <c r="Q4">
        <v>1</v>
      </c>
      <c r="X4">
        <v>0.01</v>
      </c>
      <c r="Y4">
        <v>0</v>
      </c>
      <c r="Z4">
        <v>93.37</v>
      </c>
      <c r="AA4">
        <v>11.69</v>
      </c>
      <c r="AB4">
        <v>0</v>
      </c>
      <c r="AC4">
        <v>0</v>
      </c>
      <c r="AD4">
        <v>1</v>
      </c>
      <c r="AE4">
        <v>0</v>
      </c>
      <c r="AF4" t="s">
        <v>6</v>
      </c>
      <c r="AG4">
        <v>0.01</v>
      </c>
      <c r="AH4">
        <v>2</v>
      </c>
      <c r="AI4">
        <v>74242687</v>
      </c>
      <c r="AJ4">
        <v>4</v>
      </c>
      <c r="AK4">
        <v>0</v>
      </c>
      <c r="AL4">
        <v>0</v>
      </c>
      <c r="AM4">
        <v>0</v>
      </c>
      <c r="AN4">
        <v>0</v>
      </c>
      <c r="AO4">
        <v>0</v>
      </c>
      <c r="AP4">
        <v>0</v>
      </c>
      <c r="AQ4">
        <v>0</v>
      </c>
      <c r="AR4">
        <v>0</v>
      </c>
    </row>
    <row r="5" spans="1:44" x14ac:dyDescent="0.2">
      <c r="A5">
        <f>ROW(Source!A26)</f>
        <v>26</v>
      </c>
      <c r="B5">
        <v>74242694</v>
      </c>
      <c r="C5">
        <v>74242683</v>
      </c>
      <c r="D5">
        <v>27371543</v>
      </c>
      <c r="E5">
        <v>1</v>
      </c>
      <c r="F5">
        <v>1</v>
      </c>
      <c r="G5">
        <v>1</v>
      </c>
      <c r="H5">
        <v>3</v>
      </c>
      <c r="I5" t="s">
        <v>31</v>
      </c>
      <c r="J5" t="s">
        <v>34</v>
      </c>
      <c r="K5" t="s">
        <v>32</v>
      </c>
      <c r="L5">
        <v>1346</v>
      </c>
      <c r="N5">
        <v>1009</v>
      </c>
      <c r="O5" t="s">
        <v>33</v>
      </c>
      <c r="P5" t="s">
        <v>33</v>
      </c>
      <c r="Q5">
        <v>1</v>
      </c>
      <c r="X5">
        <v>0.1</v>
      </c>
      <c r="Y5">
        <v>1.82</v>
      </c>
      <c r="Z5">
        <v>0</v>
      </c>
      <c r="AA5">
        <v>0</v>
      </c>
      <c r="AB5">
        <v>0</v>
      </c>
      <c r="AC5">
        <v>0</v>
      </c>
      <c r="AD5">
        <v>1</v>
      </c>
      <c r="AE5">
        <v>0</v>
      </c>
      <c r="AF5" t="s">
        <v>6</v>
      </c>
      <c r="AG5">
        <v>0.1</v>
      </c>
      <c r="AH5">
        <v>2</v>
      </c>
      <c r="AI5">
        <v>74242688</v>
      </c>
      <c r="AJ5">
        <v>5</v>
      </c>
      <c r="AK5">
        <v>3</v>
      </c>
      <c r="AL5">
        <v>-0.18200000000000002</v>
      </c>
      <c r="AM5">
        <v>0</v>
      </c>
      <c r="AN5">
        <v>0</v>
      </c>
      <c r="AO5">
        <v>0</v>
      </c>
      <c r="AP5">
        <v>0</v>
      </c>
      <c r="AQ5">
        <v>0</v>
      </c>
      <c r="AR5">
        <v>1</v>
      </c>
    </row>
    <row r="6" spans="1:44" x14ac:dyDescent="0.2">
      <c r="A6">
        <f>ROW(Source!A26)</f>
        <v>26</v>
      </c>
      <c r="B6">
        <v>74242695</v>
      </c>
      <c r="C6">
        <v>74242683</v>
      </c>
      <c r="D6">
        <v>27373221</v>
      </c>
      <c r="E6">
        <v>1</v>
      </c>
      <c r="F6">
        <v>1</v>
      </c>
      <c r="G6">
        <v>1</v>
      </c>
      <c r="H6">
        <v>3</v>
      </c>
      <c r="I6" t="s">
        <v>273</v>
      </c>
      <c r="J6" t="s">
        <v>274</v>
      </c>
      <c r="K6" t="s">
        <v>275</v>
      </c>
      <c r="L6">
        <v>1348</v>
      </c>
      <c r="N6">
        <v>1009</v>
      </c>
      <c r="O6" t="s">
        <v>44</v>
      </c>
      <c r="P6" t="s">
        <v>44</v>
      </c>
      <c r="Q6">
        <v>1000</v>
      </c>
      <c r="X6">
        <v>1.2999999999999999E-2</v>
      </c>
      <c r="Y6">
        <v>0</v>
      </c>
      <c r="Z6">
        <v>0</v>
      </c>
      <c r="AA6">
        <v>0</v>
      </c>
      <c r="AB6">
        <v>0</v>
      </c>
      <c r="AC6">
        <v>0</v>
      </c>
      <c r="AD6">
        <v>0</v>
      </c>
      <c r="AE6">
        <v>0</v>
      </c>
      <c r="AF6" t="s">
        <v>6</v>
      </c>
      <c r="AG6">
        <v>1.2999999999999999E-2</v>
      </c>
      <c r="AH6">
        <v>3</v>
      </c>
      <c r="AI6">
        <v>-1</v>
      </c>
      <c r="AJ6" t="s">
        <v>6</v>
      </c>
      <c r="AK6">
        <v>0</v>
      </c>
      <c r="AL6">
        <v>0</v>
      </c>
      <c r="AM6">
        <v>0</v>
      </c>
      <c r="AN6">
        <v>0</v>
      </c>
      <c r="AO6">
        <v>0</v>
      </c>
      <c r="AP6">
        <v>0</v>
      </c>
      <c r="AQ6">
        <v>0</v>
      </c>
      <c r="AR6">
        <v>0</v>
      </c>
    </row>
    <row r="7" spans="1:44" x14ac:dyDescent="0.2">
      <c r="A7">
        <f>ROW(Source!A27)</f>
        <v>27</v>
      </c>
      <c r="B7">
        <v>74242690</v>
      </c>
      <c r="C7">
        <v>74242683</v>
      </c>
      <c r="D7">
        <v>27499237</v>
      </c>
      <c r="E7">
        <v>1</v>
      </c>
      <c r="F7">
        <v>1</v>
      </c>
      <c r="G7">
        <v>1</v>
      </c>
      <c r="H7">
        <v>1</v>
      </c>
      <c r="I7" t="s">
        <v>247</v>
      </c>
      <c r="J7" t="s">
        <v>6</v>
      </c>
      <c r="K7" t="s">
        <v>248</v>
      </c>
      <c r="L7">
        <v>1369</v>
      </c>
      <c r="N7">
        <v>1013</v>
      </c>
      <c r="O7" t="s">
        <v>249</v>
      </c>
      <c r="P7" t="s">
        <v>249</v>
      </c>
      <c r="Q7">
        <v>1</v>
      </c>
      <c r="X7">
        <v>8.1</v>
      </c>
      <c r="Y7">
        <v>0</v>
      </c>
      <c r="Z7">
        <v>0</v>
      </c>
      <c r="AA7">
        <v>0</v>
      </c>
      <c r="AB7">
        <v>9.6999999999999993</v>
      </c>
      <c r="AC7">
        <v>0</v>
      </c>
      <c r="AD7">
        <v>1</v>
      </c>
      <c r="AE7">
        <v>1</v>
      </c>
      <c r="AF7" t="s">
        <v>6</v>
      </c>
      <c r="AG7">
        <v>8.1</v>
      </c>
      <c r="AH7">
        <v>2</v>
      </c>
      <c r="AI7">
        <v>74242684</v>
      </c>
      <c r="AJ7">
        <v>7</v>
      </c>
      <c r="AK7">
        <v>0</v>
      </c>
      <c r="AL7">
        <v>0</v>
      </c>
      <c r="AM7">
        <v>0</v>
      </c>
      <c r="AN7">
        <v>0</v>
      </c>
      <c r="AO7">
        <v>0</v>
      </c>
      <c r="AP7">
        <v>0</v>
      </c>
      <c r="AQ7">
        <v>0</v>
      </c>
      <c r="AR7">
        <v>0</v>
      </c>
    </row>
    <row r="8" spans="1:44" x14ac:dyDescent="0.2">
      <c r="A8">
        <f>ROW(Source!A27)</f>
        <v>27</v>
      </c>
      <c r="B8">
        <v>74242691</v>
      </c>
      <c r="C8">
        <v>74242683</v>
      </c>
      <c r="D8">
        <v>121548</v>
      </c>
      <c r="E8">
        <v>1</v>
      </c>
      <c r="F8">
        <v>1</v>
      </c>
      <c r="G8">
        <v>1</v>
      </c>
      <c r="H8">
        <v>1</v>
      </c>
      <c r="I8" t="s">
        <v>40</v>
      </c>
      <c r="J8" t="s">
        <v>6</v>
      </c>
      <c r="K8" t="s">
        <v>250</v>
      </c>
      <c r="L8">
        <v>608254</v>
      </c>
      <c r="N8">
        <v>1013</v>
      </c>
      <c r="O8" t="s">
        <v>251</v>
      </c>
      <c r="P8" t="s">
        <v>251</v>
      </c>
      <c r="Q8">
        <v>1</v>
      </c>
      <c r="X8">
        <v>0.01</v>
      </c>
      <c r="Y8">
        <v>0</v>
      </c>
      <c r="Z8">
        <v>0</v>
      </c>
      <c r="AA8">
        <v>0</v>
      </c>
      <c r="AB8">
        <v>0</v>
      </c>
      <c r="AC8">
        <v>0</v>
      </c>
      <c r="AD8">
        <v>1</v>
      </c>
      <c r="AE8">
        <v>2</v>
      </c>
      <c r="AF8" t="s">
        <v>6</v>
      </c>
      <c r="AG8">
        <v>0.01</v>
      </c>
      <c r="AH8">
        <v>2</v>
      </c>
      <c r="AI8">
        <v>74242685</v>
      </c>
      <c r="AJ8">
        <v>8</v>
      </c>
      <c r="AK8">
        <v>0</v>
      </c>
      <c r="AL8">
        <v>0</v>
      </c>
      <c r="AM8">
        <v>0</v>
      </c>
      <c r="AN8">
        <v>0</v>
      </c>
      <c r="AO8">
        <v>0</v>
      </c>
      <c r="AP8">
        <v>0</v>
      </c>
      <c r="AQ8">
        <v>0</v>
      </c>
      <c r="AR8">
        <v>0</v>
      </c>
    </row>
    <row r="9" spans="1:44" x14ac:dyDescent="0.2">
      <c r="A9">
        <f>ROW(Source!A27)</f>
        <v>27</v>
      </c>
      <c r="B9">
        <v>74242692</v>
      </c>
      <c r="C9">
        <v>74242683</v>
      </c>
      <c r="D9">
        <v>27439630</v>
      </c>
      <c r="E9">
        <v>1</v>
      </c>
      <c r="F9">
        <v>1</v>
      </c>
      <c r="G9">
        <v>1</v>
      </c>
      <c r="H9">
        <v>2</v>
      </c>
      <c r="I9" t="s">
        <v>252</v>
      </c>
      <c r="J9" t="s">
        <v>253</v>
      </c>
      <c r="K9" t="s">
        <v>254</v>
      </c>
      <c r="L9">
        <v>1368</v>
      </c>
      <c r="N9">
        <v>1011</v>
      </c>
      <c r="O9" t="s">
        <v>255</v>
      </c>
      <c r="P9" t="s">
        <v>255</v>
      </c>
      <c r="Q9">
        <v>1</v>
      </c>
      <c r="X9">
        <v>0.01</v>
      </c>
      <c r="Y9">
        <v>0</v>
      </c>
      <c r="Z9">
        <v>31.27</v>
      </c>
      <c r="AA9">
        <v>13.61</v>
      </c>
      <c r="AB9">
        <v>0</v>
      </c>
      <c r="AC9">
        <v>0</v>
      </c>
      <c r="AD9">
        <v>1</v>
      </c>
      <c r="AE9">
        <v>0</v>
      </c>
      <c r="AF9" t="s">
        <v>6</v>
      </c>
      <c r="AG9">
        <v>0.01</v>
      </c>
      <c r="AH9">
        <v>2</v>
      </c>
      <c r="AI9">
        <v>74242686</v>
      </c>
      <c r="AJ9">
        <v>9</v>
      </c>
      <c r="AK9">
        <v>0</v>
      </c>
      <c r="AL9">
        <v>0</v>
      </c>
      <c r="AM9">
        <v>0</v>
      </c>
      <c r="AN9">
        <v>0</v>
      </c>
      <c r="AO9">
        <v>0</v>
      </c>
      <c r="AP9">
        <v>0</v>
      </c>
      <c r="AQ9">
        <v>0</v>
      </c>
      <c r="AR9">
        <v>0</v>
      </c>
    </row>
    <row r="10" spans="1:44" x14ac:dyDescent="0.2">
      <c r="A10">
        <f>ROW(Source!A27)</f>
        <v>27</v>
      </c>
      <c r="B10">
        <v>74242693</v>
      </c>
      <c r="C10">
        <v>74242683</v>
      </c>
      <c r="D10">
        <v>27441327</v>
      </c>
      <c r="E10">
        <v>1</v>
      </c>
      <c r="F10">
        <v>1</v>
      </c>
      <c r="G10">
        <v>1</v>
      </c>
      <c r="H10">
        <v>2</v>
      </c>
      <c r="I10" t="s">
        <v>256</v>
      </c>
      <c r="J10" t="s">
        <v>257</v>
      </c>
      <c r="K10" t="s">
        <v>258</v>
      </c>
      <c r="L10">
        <v>1368</v>
      </c>
      <c r="N10">
        <v>1011</v>
      </c>
      <c r="O10" t="s">
        <v>255</v>
      </c>
      <c r="P10" t="s">
        <v>255</v>
      </c>
      <c r="Q10">
        <v>1</v>
      </c>
      <c r="X10">
        <v>0.01</v>
      </c>
      <c r="Y10">
        <v>0</v>
      </c>
      <c r="Z10">
        <v>93.37</v>
      </c>
      <c r="AA10">
        <v>11.69</v>
      </c>
      <c r="AB10">
        <v>0</v>
      </c>
      <c r="AC10">
        <v>0</v>
      </c>
      <c r="AD10">
        <v>1</v>
      </c>
      <c r="AE10">
        <v>0</v>
      </c>
      <c r="AF10" t="s">
        <v>6</v>
      </c>
      <c r="AG10">
        <v>0.01</v>
      </c>
      <c r="AH10">
        <v>2</v>
      </c>
      <c r="AI10">
        <v>74242687</v>
      </c>
      <c r="AJ10">
        <v>10</v>
      </c>
      <c r="AK10">
        <v>0</v>
      </c>
      <c r="AL10">
        <v>0</v>
      </c>
      <c r="AM10">
        <v>0</v>
      </c>
      <c r="AN10">
        <v>0</v>
      </c>
      <c r="AO10">
        <v>0</v>
      </c>
      <c r="AP10">
        <v>0</v>
      </c>
      <c r="AQ10">
        <v>0</v>
      </c>
      <c r="AR10">
        <v>0</v>
      </c>
    </row>
    <row r="11" spans="1:44" x14ac:dyDescent="0.2">
      <c r="A11">
        <f>ROW(Source!A27)</f>
        <v>27</v>
      </c>
      <c r="B11">
        <v>74242694</v>
      </c>
      <c r="C11">
        <v>74242683</v>
      </c>
      <c r="D11">
        <v>27371543</v>
      </c>
      <c r="E11">
        <v>1</v>
      </c>
      <c r="F11">
        <v>1</v>
      </c>
      <c r="G11">
        <v>1</v>
      </c>
      <c r="H11">
        <v>3</v>
      </c>
      <c r="I11" t="s">
        <v>31</v>
      </c>
      <c r="J11" t="s">
        <v>34</v>
      </c>
      <c r="K11" t="s">
        <v>32</v>
      </c>
      <c r="L11">
        <v>1346</v>
      </c>
      <c r="N11">
        <v>1009</v>
      </c>
      <c r="O11" t="s">
        <v>33</v>
      </c>
      <c r="P11" t="s">
        <v>33</v>
      </c>
      <c r="Q11">
        <v>1</v>
      </c>
      <c r="X11">
        <v>0.1</v>
      </c>
      <c r="Y11">
        <v>1.82</v>
      </c>
      <c r="Z11">
        <v>0</v>
      </c>
      <c r="AA11">
        <v>0</v>
      </c>
      <c r="AB11">
        <v>0</v>
      </c>
      <c r="AC11">
        <v>0</v>
      </c>
      <c r="AD11">
        <v>1</v>
      </c>
      <c r="AE11">
        <v>0</v>
      </c>
      <c r="AF11" t="s">
        <v>6</v>
      </c>
      <c r="AG11">
        <v>0.1</v>
      </c>
      <c r="AH11">
        <v>2</v>
      </c>
      <c r="AI11">
        <v>74242688</v>
      </c>
      <c r="AJ11">
        <v>11</v>
      </c>
      <c r="AK11">
        <v>3</v>
      </c>
      <c r="AL11">
        <v>-0.18200000000000002</v>
      </c>
      <c r="AM11">
        <v>0</v>
      </c>
      <c r="AN11">
        <v>0</v>
      </c>
      <c r="AO11">
        <v>0</v>
      </c>
      <c r="AP11">
        <v>0</v>
      </c>
      <c r="AQ11">
        <v>0</v>
      </c>
      <c r="AR11">
        <v>1</v>
      </c>
    </row>
    <row r="12" spans="1:44" x14ac:dyDescent="0.2">
      <c r="A12">
        <f>ROW(Source!A27)</f>
        <v>27</v>
      </c>
      <c r="B12">
        <v>74242695</v>
      </c>
      <c r="C12">
        <v>74242683</v>
      </c>
      <c r="D12">
        <v>27373221</v>
      </c>
      <c r="E12">
        <v>1</v>
      </c>
      <c r="F12">
        <v>1</v>
      </c>
      <c r="G12">
        <v>1</v>
      </c>
      <c r="H12">
        <v>3</v>
      </c>
      <c r="I12" t="s">
        <v>273</v>
      </c>
      <c r="J12" t="s">
        <v>274</v>
      </c>
      <c r="K12" t="s">
        <v>275</v>
      </c>
      <c r="L12">
        <v>1348</v>
      </c>
      <c r="N12">
        <v>1009</v>
      </c>
      <c r="O12" t="s">
        <v>44</v>
      </c>
      <c r="P12" t="s">
        <v>44</v>
      </c>
      <c r="Q12">
        <v>1000</v>
      </c>
      <c r="X12">
        <v>1.2999999999999999E-2</v>
      </c>
      <c r="Y12">
        <v>0</v>
      </c>
      <c r="Z12">
        <v>0</v>
      </c>
      <c r="AA12">
        <v>0</v>
      </c>
      <c r="AB12">
        <v>0</v>
      </c>
      <c r="AC12">
        <v>0</v>
      </c>
      <c r="AD12">
        <v>0</v>
      </c>
      <c r="AE12">
        <v>0</v>
      </c>
      <c r="AF12" t="s">
        <v>6</v>
      </c>
      <c r="AG12">
        <v>1.2999999999999999E-2</v>
      </c>
      <c r="AH12">
        <v>3</v>
      </c>
      <c r="AI12">
        <v>-1</v>
      </c>
      <c r="AJ12" t="s">
        <v>6</v>
      </c>
      <c r="AK12">
        <v>0</v>
      </c>
      <c r="AL12">
        <v>0</v>
      </c>
      <c r="AM12">
        <v>0</v>
      </c>
      <c r="AN12">
        <v>0</v>
      </c>
      <c r="AO12">
        <v>0</v>
      </c>
      <c r="AP12">
        <v>0</v>
      </c>
      <c r="AQ12">
        <v>0</v>
      </c>
      <c r="AR12">
        <v>0</v>
      </c>
    </row>
    <row r="13" spans="1:44" x14ac:dyDescent="0.2">
      <c r="A13">
        <f>ROW(Source!A33)</f>
        <v>33</v>
      </c>
      <c r="B13">
        <v>74242706</v>
      </c>
      <c r="C13">
        <v>74242699</v>
      </c>
      <c r="D13">
        <v>27834061</v>
      </c>
      <c r="E13">
        <v>1</v>
      </c>
      <c r="F13">
        <v>1</v>
      </c>
      <c r="G13">
        <v>1</v>
      </c>
      <c r="H13">
        <v>1</v>
      </c>
      <c r="I13" t="s">
        <v>259</v>
      </c>
      <c r="J13" t="s">
        <v>6</v>
      </c>
      <c r="K13" t="s">
        <v>260</v>
      </c>
      <c r="L13">
        <v>1369</v>
      </c>
      <c r="N13">
        <v>1013</v>
      </c>
      <c r="O13" t="s">
        <v>249</v>
      </c>
      <c r="P13" t="s">
        <v>249</v>
      </c>
      <c r="Q13">
        <v>1</v>
      </c>
      <c r="X13">
        <v>1.1000000000000001</v>
      </c>
      <c r="Y13">
        <v>0</v>
      </c>
      <c r="Z13">
        <v>0</v>
      </c>
      <c r="AA13">
        <v>0</v>
      </c>
      <c r="AB13">
        <v>9.6999999999999993</v>
      </c>
      <c r="AC13">
        <v>0</v>
      </c>
      <c r="AD13">
        <v>1</v>
      </c>
      <c r="AE13">
        <v>1</v>
      </c>
      <c r="AF13" t="s">
        <v>6</v>
      </c>
      <c r="AG13">
        <v>1.1000000000000001</v>
      </c>
      <c r="AH13">
        <v>2</v>
      </c>
      <c r="AI13">
        <v>74242700</v>
      </c>
      <c r="AJ13">
        <v>13</v>
      </c>
      <c r="AK13">
        <v>0</v>
      </c>
      <c r="AL13">
        <v>0</v>
      </c>
      <c r="AM13">
        <v>0</v>
      </c>
      <c r="AN13">
        <v>0</v>
      </c>
      <c r="AO13">
        <v>0</v>
      </c>
      <c r="AP13">
        <v>0</v>
      </c>
      <c r="AQ13">
        <v>0</v>
      </c>
      <c r="AR13">
        <v>0</v>
      </c>
    </row>
    <row r="14" spans="1:44" x14ac:dyDescent="0.2">
      <c r="A14">
        <f>ROW(Source!A33)</f>
        <v>33</v>
      </c>
      <c r="B14">
        <v>74242707</v>
      </c>
      <c r="C14">
        <v>74242699</v>
      </c>
      <c r="D14">
        <v>121548</v>
      </c>
      <c r="E14">
        <v>1</v>
      </c>
      <c r="F14">
        <v>1</v>
      </c>
      <c r="G14">
        <v>1</v>
      </c>
      <c r="H14">
        <v>1</v>
      </c>
      <c r="I14" t="s">
        <v>40</v>
      </c>
      <c r="J14" t="s">
        <v>6</v>
      </c>
      <c r="K14" t="s">
        <v>250</v>
      </c>
      <c r="L14">
        <v>608254</v>
      </c>
      <c r="N14">
        <v>1013</v>
      </c>
      <c r="O14" t="s">
        <v>251</v>
      </c>
      <c r="P14" t="s">
        <v>251</v>
      </c>
      <c r="Q14">
        <v>1</v>
      </c>
      <c r="X14">
        <v>0.01</v>
      </c>
      <c r="Y14">
        <v>0</v>
      </c>
      <c r="Z14">
        <v>0</v>
      </c>
      <c r="AA14">
        <v>0</v>
      </c>
      <c r="AB14">
        <v>0</v>
      </c>
      <c r="AC14">
        <v>0</v>
      </c>
      <c r="AD14">
        <v>1</v>
      </c>
      <c r="AE14">
        <v>2</v>
      </c>
      <c r="AF14" t="s">
        <v>6</v>
      </c>
      <c r="AG14">
        <v>0.01</v>
      </c>
      <c r="AH14">
        <v>2</v>
      </c>
      <c r="AI14">
        <v>74242701</v>
      </c>
      <c r="AJ14">
        <v>14</v>
      </c>
      <c r="AK14">
        <v>0</v>
      </c>
      <c r="AL14">
        <v>0</v>
      </c>
      <c r="AM14">
        <v>0</v>
      </c>
      <c r="AN14">
        <v>0</v>
      </c>
      <c r="AO14">
        <v>0</v>
      </c>
      <c r="AP14">
        <v>0</v>
      </c>
      <c r="AQ14">
        <v>0</v>
      </c>
      <c r="AR14">
        <v>0</v>
      </c>
    </row>
    <row r="15" spans="1:44" x14ac:dyDescent="0.2">
      <c r="A15">
        <f>ROW(Source!A33)</f>
        <v>33</v>
      </c>
      <c r="B15">
        <v>74242708</v>
      </c>
      <c r="C15">
        <v>74242699</v>
      </c>
      <c r="D15">
        <v>27439630</v>
      </c>
      <c r="E15">
        <v>1</v>
      </c>
      <c r="F15">
        <v>1</v>
      </c>
      <c r="G15">
        <v>1</v>
      </c>
      <c r="H15">
        <v>2</v>
      </c>
      <c r="I15" t="s">
        <v>252</v>
      </c>
      <c r="J15" t="s">
        <v>253</v>
      </c>
      <c r="K15" t="s">
        <v>254</v>
      </c>
      <c r="L15">
        <v>1368</v>
      </c>
      <c r="N15">
        <v>1011</v>
      </c>
      <c r="O15" t="s">
        <v>255</v>
      </c>
      <c r="P15" t="s">
        <v>255</v>
      </c>
      <c r="Q15">
        <v>1</v>
      </c>
      <c r="X15">
        <v>2E-3</v>
      </c>
      <c r="Y15">
        <v>0</v>
      </c>
      <c r="Z15">
        <v>31.27</v>
      </c>
      <c r="AA15">
        <v>13.61</v>
      </c>
      <c r="AB15">
        <v>0</v>
      </c>
      <c r="AC15">
        <v>0</v>
      </c>
      <c r="AD15">
        <v>1</v>
      </c>
      <c r="AE15">
        <v>0</v>
      </c>
      <c r="AF15" t="s">
        <v>6</v>
      </c>
      <c r="AG15">
        <v>2E-3</v>
      </c>
      <c r="AH15">
        <v>2</v>
      </c>
      <c r="AI15">
        <v>74242702</v>
      </c>
      <c r="AJ15">
        <v>15</v>
      </c>
      <c r="AK15">
        <v>0</v>
      </c>
      <c r="AL15">
        <v>0</v>
      </c>
      <c r="AM15">
        <v>0</v>
      </c>
      <c r="AN15">
        <v>0</v>
      </c>
      <c r="AO15">
        <v>0</v>
      </c>
      <c r="AP15">
        <v>0</v>
      </c>
      <c r="AQ15">
        <v>0</v>
      </c>
      <c r="AR15">
        <v>0</v>
      </c>
    </row>
    <row r="16" spans="1:44" x14ac:dyDescent="0.2">
      <c r="A16">
        <f>ROW(Source!A33)</f>
        <v>33</v>
      </c>
      <c r="B16">
        <v>74242709</v>
      </c>
      <c r="C16">
        <v>74242699</v>
      </c>
      <c r="D16">
        <v>27441327</v>
      </c>
      <c r="E16">
        <v>1</v>
      </c>
      <c r="F16">
        <v>1</v>
      </c>
      <c r="G16">
        <v>1</v>
      </c>
      <c r="H16">
        <v>2</v>
      </c>
      <c r="I16" t="s">
        <v>256</v>
      </c>
      <c r="J16" t="s">
        <v>257</v>
      </c>
      <c r="K16" t="s">
        <v>258</v>
      </c>
      <c r="L16">
        <v>1368</v>
      </c>
      <c r="N16">
        <v>1011</v>
      </c>
      <c r="O16" t="s">
        <v>255</v>
      </c>
      <c r="P16" t="s">
        <v>255</v>
      </c>
      <c r="Q16">
        <v>1</v>
      </c>
      <c r="X16">
        <v>0.01</v>
      </c>
      <c r="Y16">
        <v>0</v>
      </c>
      <c r="Z16">
        <v>93.37</v>
      </c>
      <c r="AA16">
        <v>11.69</v>
      </c>
      <c r="AB16">
        <v>0</v>
      </c>
      <c r="AC16">
        <v>0</v>
      </c>
      <c r="AD16">
        <v>1</v>
      </c>
      <c r="AE16">
        <v>0</v>
      </c>
      <c r="AF16" t="s">
        <v>6</v>
      </c>
      <c r="AG16">
        <v>0.01</v>
      </c>
      <c r="AH16">
        <v>2</v>
      </c>
      <c r="AI16">
        <v>74242703</v>
      </c>
      <c r="AJ16">
        <v>16</v>
      </c>
      <c r="AK16">
        <v>0</v>
      </c>
      <c r="AL16">
        <v>0</v>
      </c>
      <c r="AM16">
        <v>0</v>
      </c>
      <c r="AN16">
        <v>0</v>
      </c>
      <c r="AO16">
        <v>0</v>
      </c>
      <c r="AP16">
        <v>0</v>
      </c>
      <c r="AQ16">
        <v>0</v>
      </c>
      <c r="AR16">
        <v>0</v>
      </c>
    </row>
    <row r="17" spans="1:44" x14ac:dyDescent="0.2">
      <c r="A17">
        <f>ROW(Source!A33)</f>
        <v>33</v>
      </c>
      <c r="B17">
        <v>74242710</v>
      </c>
      <c r="C17">
        <v>74242699</v>
      </c>
      <c r="D17">
        <v>27371543</v>
      </c>
      <c r="E17">
        <v>1</v>
      </c>
      <c r="F17">
        <v>1</v>
      </c>
      <c r="G17">
        <v>1</v>
      </c>
      <c r="H17">
        <v>3</v>
      </c>
      <c r="I17" t="s">
        <v>31</v>
      </c>
      <c r="J17" t="s">
        <v>34</v>
      </c>
      <c r="K17" t="s">
        <v>32</v>
      </c>
      <c r="L17">
        <v>1346</v>
      </c>
      <c r="N17">
        <v>1009</v>
      </c>
      <c r="O17" t="s">
        <v>33</v>
      </c>
      <c r="P17" t="s">
        <v>33</v>
      </c>
      <c r="Q17">
        <v>1</v>
      </c>
      <c r="X17">
        <v>0.1</v>
      </c>
      <c r="Y17">
        <v>1.82</v>
      </c>
      <c r="Z17">
        <v>0</v>
      </c>
      <c r="AA17">
        <v>0</v>
      </c>
      <c r="AB17">
        <v>0</v>
      </c>
      <c r="AC17">
        <v>0</v>
      </c>
      <c r="AD17">
        <v>1</v>
      </c>
      <c r="AE17">
        <v>0</v>
      </c>
      <c r="AF17" t="s">
        <v>6</v>
      </c>
      <c r="AG17">
        <v>0.1</v>
      </c>
      <c r="AH17">
        <v>2</v>
      </c>
      <c r="AI17">
        <v>74242704</v>
      </c>
      <c r="AJ17">
        <v>17</v>
      </c>
      <c r="AK17">
        <v>3</v>
      </c>
      <c r="AL17">
        <v>-0.18200000000000002</v>
      </c>
      <c r="AM17">
        <v>0</v>
      </c>
      <c r="AN17">
        <v>0</v>
      </c>
      <c r="AO17">
        <v>0</v>
      </c>
      <c r="AP17">
        <v>0</v>
      </c>
      <c r="AQ17">
        <v>0</v>
      </c>
      <c r="AR17">
        <v>1</v>
      </c>
    </row>
    <row r="18" spans="1:44" x14ac:dyDescent="0.2">
      <c r="A18">
        <f>ROW(Source!A33)</f>
        <v>33</v>
      </c>
      <c r="B18">
        <v>74242711</v>
      </c>
      <c r="C18">
        <v>74242699</v>
      </c>
      <c r="D18">
        <v>27373221</v>
      </c>
      <c r="E18">
        <v>1</v>
      </c>
      <c r="F18">
        <v>1</v>
      </c>
      <c r="G18">
        <v>1</v>
      </c>
      <c r="H18">
        <v>3</v>
      </c>
      <c r="I18" t="s">
        <v>273</v>
      </c>
      <c r="J18" t="s">
        <v>274</v>
      </c>
      <c r="K18" t="s">
        <v>275</v>
      </c>
      <c r="L18">
        <v>1348</v>
      </c>
      <c r="N18">
        <v>1009</v>
      </c>
      <c r="O18" t="s">
        <v>44</v>
      </c>
      <c r="P18" t="s">
        <v>44</v>
      </c>
      <c r="Q18">
        <v>1000</v>
      </c>
      <c r="X18">
        <v>1.32E-2</v>
      </c>
      <c r="Y18">
        <v>0</v>
      </c>
      <c r="Z18">
        <v>0</v>
      </c>
      <c r="AA18">
        <v>0</v>
      </c>
      <c r="AB18">
        <v>0</v>
      </c>
      <c r="AC18">
        <v>0</v>
      </c>
      <c r="AD18">
        <v>0</v>
      </c>
      <c r="AE18">
        <v>0</v>
      </c>
      <c r="AF18" t="s">
        <v>6</v>
      </c>
      <c r="AG18">
        <v>1.32E-2</v>
      </c>
      <c r="AH18">
        <v>3</v>
      </c>
      <c r="AI18">
        <v>-1</v>
      </c>
      <c r="AJ18" t="s">
        <v>6</v>
      </c>
      <c r="AK18">
        <v>0</v>
      </c>
      <c r="AL18">
        <v>0</v>
      </c>
      <c r="AM18">
        <v>0</v>
      </c>
      <c r="AN18">
        <v>0</v>
      </c>
      <c r="AO18">
        <v>0</v>
      </c>
      <c r="AP18">
        <v>0</v>
      </c>
      <c r="AQ18">
        <v>0</v>
      </c>
      <c r="AR18">
        <v>0</v>
      </c>
    </row>
    <row r="19" spans="1:44" x14ac:dyDescent="0.2">
      <c r="A19">
        <f>ROW(Source!A34)</f>
        <v>34</v>
      </c>
      <c r="B19">
        <v>74242706</v>
      </c>
      <c r="C19">
        <v>74242699</v>
      </c>
      <c r="D19">
        <v>27834061</v>
      </c>
      <c r="E19">
        <v>1</v>
      </c>
      <c r="F19">
        <v>1</v>
      </c>
      <c r="G19">
        <v>1</v>
      </c>
      <c r="H19">
        <v>1</v>
      </c>
      <c r="I19" t="s">
        <v>259</v>
      </c>
      <c r="J19" t="s">
        <v>6</v>
      </c>
      <c r="K19" t="s">
        <v>260</v>
      </c>
      <c r="L19">
        <v>1369</v>
      </c>
      <c r="N19">
        <v>1013</v>
      </c>
      <c r="O19" t="s">
        <v>249</v>
      </c>
      <c r="P19" t="s">
        <v>249</v>
      </c>
      <c r="Q19">
        <v>1</v>
      </c>
      <c r="X19">
        <v>1.1000000000000001</v>
      </c>
      <c r="Y19">
        <v>0</v>
      </c>
      <c r="Z19">
        <v>0</v>
      </c>
      <c r="AA19">
        <v>0</v>
      </c>
      <c r="AB19">
        <v>9.6999999999999993</v>
      </c>
      <c r="AC19">
        <v>0</v>
      </c>
      <c r="AD19">
        <v>1</v>
      </c>
      <c r="AE19">
        <v>1</v>
      </c>
      <c r="AF19" t="s">
        <v>6</v>
      </c>
      <c r="AG19">
        <v>1.1000000000000001</v>
      </c>
      <c r="AH19">
        <v>2</v>
      </c>
      <c r="AI19">
        <v>74242700</v>
      </c>
      <c r="AJ19">
        <v>19</v>
      </c>
      <c r="AK19">
        <v>0</v>
      </c>
      <c r="AL19">
        <v>0</v>
      </c>
      <c r="AM19">
        <v>0</v>
      </c>
      <c r="AN19">
        <v>0</v>
      </c>
      <c r="AO19">
        <v>0</v>
      </c>
      <c r="AP19">
        <v>0</v>
      </c>
      <c r="AQ19">
        <v>0</v>
      </c>
      <c r="AR19">
        <v>0</v>
      </c>
    </row>
    <row r="20" spans="1:44" x14ac:dyDescent="0.2">
      <c r="A20">
        <f>ROW(Source!A34)</f>
        <v>34</v>
      </c>
      <c r="B20">
        <v>74242707</v>
      </c>
      <c r="C20">
        <v>74242699</v>
      </c>
      <c r="D20">
        <v>121548</v>
      </c>
      <c r="E20">
        <v>1</v>
      </c>
      <c r="F20">
        <v>1</v>
      </c>
      <c r="G20">
        <v>1</v>
      </c>
      <c r="H20">
        <v>1</v>
      </c>
      <c r="I20" t="s">
        <v>40</v>
      </c>
      <c r="J20" t="s">
        <v>6</v>
      </c>
      <c r="K20" t="s">
        <v>250</v>
      </c>
      <c r="L20">
        <v>608254</v>
      </c>
      <c r="N20">
        <v>1013</v>
      </c>
      <c r="O20" t="s">
        <v>251</v>
      </c>
      <c r="P20" t="s">
        <v>251</v>
      </c>
      <c r="Q20">
        <v>1</v>
      </c>
      <c r="X20">
        <v>0.01</v>
      </c>
      <c r="Y20">
        <v>0</v>
      </c>
      <c r="Z20">
        <v>0</v>
      </c>
      <c r="AA20">
        <v>0</v>
      </c>
      <c r="AB20">
        <v>0</v>
      </c>
      <c r="AC20">
        <v>0</v>
      </c>
      <c r="AD20">
        <v>1</v>
      </c>
      <c r="AE20">
        <v>2</v>
      </c>
      <c r="AF20" t="s">
        <v>6</v>
      </c>
      <c r="AG20">
        <v>0.01</v>
      </c>
      <c r="AH20">
        <v>2</v>
      </c>
      <c r="AI20">
        <v>74242701</v>
      </c>
      <c r="AJ20">
        <v>20</v>
      </c>
      <c r="AK20">
        <v>0</v>
      </c>
      <c r="AL20">
        <v>0</v>
      </c>
      <c r="AM20">
        <v>0</v>
      </c>
      <c r="AN20">
        <v>0</v>
      </c>
      <c r="AO20">
        <v>0</v>
      </c>
      <c r="AP20">
        <v>0</v>
      </c>
      <c r="AQ20">
        <v>0</v>
      </c>
      <c r="AR20">
        <v>0</v>
      </c>
    </row>
    <row r="21" spans="1:44" x14ac:dyDescent="0.2">
      <c r="A21">
        <f>ROW(Source!A34)</f>
        <v>34</v>
      </c>
      <c r="B21">
        <v>74242708</v>
      </c>
      <c r="C21">
        <v>74242699</v>
      </c>
      <c r="D21">
        <v>27439630</v>
      </c>
      <c r="E21">
        <v>1</v>
      </c>
      <c r="F21">
        <v>1</v>
      </c>
      <c r="G21">
        <v>1</v>
      </c>
      <c r="H21">
        <v>2</v>
      </c>
      <c r="I21" t="s">
        <v>252</v>
      </c>
      <c r="J21" t="s">
        <v>253</v>
      </c>
      <c r="K21" t="s">
        <v>254</v>
      </c>
      <c r="L21">
        <v>1368</v>
      </c>
      <c r="N21">
        <v>1011</v>
      </c>
      <c r="O21" t="s">
        <v>255</v>
      </c>
      <c r="P21" t="s">
        <v>255</v>
      </c>
      <c r="Q21">
        <v>1</v>
      </c>
      <c r="X21">
        <v>2E-3</v>
      </c>
      <c r="Y21">
        <v>0</v>
      </c>
      <c r="Z21">
        <v>31.27</v>
      </c>
      <c r="AA21">
        <v>13.61</v>
      </c>
      <c r="AB21">
        <v>0</v>
      </c>
      <c r="AC21">
        <v>0</v>
      </c>
      <c r="AD21">
        <v>1</v>
      </c>
      <c r="AE21">
        <v>0</v>
      </c>
      <c r="AF21" t="s">
        <v>6</v>
      </c>
      <c r="AG21">
        <v>2E-3</v>
      </c>
      <c r="AH21">
        <v>2</v>
      </c>
      <c r="AI21">
        <v>74242702</v>
      </c>
      <c r="AJ21">
        <v>21</v>
      </c>
      <c r="AK21">
        <v>0</v>
      </c>
      <c r="AL21">
        <v>0</v>
      </c>
      <c r="AM21">
        <v>0</v>
      </c>
      <c r="AN21">
        <v>0</v>
      </c>
      <c r="AO21">
        <v>0</v>
      </c>
      <c r="AP21">
        <v>0</v>
      </c>
      <c r="AQ21">
        <v>0</v>
      </c>
      <c r="AR21">
        <v>0</v>
      </c>
    </row>
    <row r="22" spans="1:44" x14ac:dyDescent="0.2">
      <c r="A22">
        <f>ROW(Source!A34)</f>
        <v>34</v>
      </c>
      <c r="B22">
        <v>74242709</v>
      </c>
      <c r="C22">
        <v>74242699</v>
      </c>
      <c r="D22">
        <v>27441327</v>
      </c>
      <c r="E22">
        <v>1</v>
      </c>
      <c r="F22">
        <v>1</v>
      </c>
      <c r="G22">
        <v>1</v>
      </c>
      <c r="H22">
        <v>2</v>
      </c>
      <c r="I22" t="s">
        <v>256</v>
      </c>
      <c r="J22" t="s">
        <v>257</v>
      </c>
      <c r="K22" t="s">
        <v>258</v>
      </c>
      <c r="L22">
        <v>1368</v>
      </c>
      <c r="N22">
        <v>1011</v>
      </c>
      <c r="O22" t="s">
        <v>255</v>
      </c>
      <c r="P22" t="s">
        <v>255</v>
      </c>
      <c r="Q22">
        <v>1</v>
      </c>
      <c r="X22">
        <v>0.01</v>
      </c>
      <c r="Y22">
        <v>0</v>
      </c>
      <c r="Z22">
        <v>93.37</v>
      </c>
      <c r="AA22">
        <v>11.69</v>
      </c>
      <c r="AB22">
        <v>0</v>
      </c>
      <c r="AC22">
        <v>0</v>
      </c>
      <c r="AD22">
        <v>1</v>
      </c>
      <c r="AE22">
        <v>0</v>
      </c>
      <c r="AF22" t="s">
        <v>6</v>
      </c>
      <c r="AG22">
        <v>0.01</v>
      </c>
      <c r="AH22">
        <v>2</v>
      </c>
      <c r="AI22">
        <v>74242703</v>
      </c>
      <c r="AJ22">
        <v>22</v>
      </c>
      <c r="AK22">
        <v>0</v>
      </c>
      <c r="AL22">
        <v>0</v>
      </c>
      <c r="AM22">
        <v>0</v>
      </c>
      <c r="AN22">
        <v>0</v>
      </c>
      <c r="AO22">
        <v>0</v>
      </c>
      <c r="AP22">
        <v>0</v>
      </c>
      <c r="AQ22">
        <v>0</v>
      </c>
      <c r="AR22">
        <v>0</v>
      </c>
    </row>
    <row r="23" spans="1:44" x14ac:dyDescent="0.2">
      <c r="A23">
        <f>ROW(Source!A34)</f>
        <v>34</v>
      </c>
      <c r="B23">
        <v>74242710</v>
      </c>
      <c r="C23">
        <v>74242699</v>
      </c>
      <c r="D23">
        <v>27371543</v>
      </c>
      <c r="E23">
        <v>1</v>
      </c>
      <c r="F23">
        <v>1</v>
      </c>
      <c r="G23">
        <v>1</v>
      </c>
      <c r="H23">
        <v>3</v>
      </c>
      <c r="I23" t="s">
        <v>31</v>
      </c>
      <c r="J23" t="s">
        <v>34</v>
      </c>
      <c r="K23" t="s">
        <v>32</v>
      </c>
      <c r="L23">
        <v>1346</v>
      </c>
      <c r="N23">
        <v>1009</v>
      </c>
      <c r="O23" t="s">
        <v>33</v>
      </c>
      <c r="P23" t="s">
        <v>33</v>
      </c>
      <c r="Q23">
        <v>1</v>
      </c>
      <c r="X23">
        <v>0.1</v>
      </c>
      <c r="Y23">
        <v>1.82</v>
      </c>
      <c r="Z23">
        <v>0</v>
      </c>
      <c r="AA23">
        <v>0</v>
      </c>
      <c r="AB23">
        <v>0</v>
      </c>
      <c r="AC23">
        <v>0</v>
      </c>
      <c r="AD23">
        <v>1</v>
      </c>
      <c r="AE23">
        <v>0</v>
      </c>
      <c r="AF23" t="s">
        <v>6</v>
      </c>
      <c r="AG23">
        <v>0.1</v>
      </c>
      <c r="AH23">
        <v>2</v>
      </c>
      <c r="AI23">
        <v>74242704</v>
      </c>
      <c r="AJ23">
        <v>23</v>
      </c>
      <c r="AK23">
        <v>3</v>
      </c>
      <c r="AL23">
        <v>-0.18200000000000002</v>
      </c>
      <c r="AM23">
        <v>0</v>
      </c>
      <c r="AN23">
        <v>0</v>
      </c>
      <c r="AO23">
        <v>0</v>
      </c>
      <c r="AP23">
        <v>0</v>
      </c>
      <c r="AQ23">
        <v>0</v>
      </c>
      <c r="AR23">
        <v>1</v>
      </c>
    </row>
    <row r="24" spans="1:44" x14ac:dyDescent="0.2">
      <c r="A24">
        <f>ROW(Source!A34)</f>
        <v>34</v>
      </c>
      <c r="B24">
        <v>74242711</v>
      </c>
      <c r="C24">
        <v>74242699</v>
      </c>
      <c r="D24">
        <v>27373221</v>
      </c>
      <c r="E24">
        <v>1</v>
      </c>
      <c r="F24">
        <v>1</v>
      </c>
      <c r="G24">
        <v>1</v>
      </c>
      <c r="H24">
        <v>3</v>
      </c>
      <c r="I24" t="s">
        <v>273</v>
      </c>
      <c r="J24" t="s">
        <v>274</v>
      </c>
      <c r="K24" t="s">
        <v>275</v>
      </c>
      <c r="L24">
        <v>1348</v>
      </c>
      <c r="N24">
        <v>1009</v>
      </c>
      <c r="O24" t="s">
        <v>44</v>
      </c>
      <c r="P24" t="s">
        <v>44</v>
      </c>
      <c r="Q24">
        <v>1000</v>
      </c>
      <c r="X24">
        <v>1.32E-2</v>
      </c>
      <c r="Y24">
        <v>0</v>
      </c>
      <c r="Z24">
        <v>0</v>
      </c>
      <c r="AA24">
        <v>0</v>
      </c>
      <c r="AB24">
        <v>0</v>
      </c>
      <c r="AC24">
        <v>0</v>
      </c>
      <c r="AD24">
        <v>0</v>
      </c>
      <c r="AE24">
        <v>0</v>
      </c>
      <c r="AF24" t="s">
        <v>6</v>
      </c>
      <c r="AG24">
        <v>1.32E-2</v>
      </c>
      <c r="AH24">
        <v>3</v>
      </c>
      <c r="AI24">
        <v>-1</v>
      </c>
      <c r="AJ24" t="s">
        <v>6</v>
      </c>
      <c r="AK24">
        <v>0</v>
      </c>
      <c r="AL24">
        <v>0</v>
      </c>
      <c r="AM24">
        <v>0</v>
      </c>
      <c r="AN24">
        <v>0</v>
      </c>
      <c r="AO24">
        <v>0</v>
      </c>
      <c r="AP24">
        <v>0</v>
      </c>
      <c r="AQ24">
        <v>0</v>
      </c>
      <c r="AR24">
        <v>0</v>
      </c>
    </row>
    <row r="25" spans="1:44" x14ac:dyDescent="0.2">
      <c r="A25">
        <f>ROW(Source!A39)</f>
        <v>39</v>
      </c>
      <c r="B25">
        <v>74242761</v>
      </c>
      <c r="C25">
        <v>74242751</v>
      </c>
      <c r="D25">
        <v>5510968</v>
      </c>
      <c r="E25">
        <v>1</v>
      </c>
      <c r="F25">
        <v>1</v>
      </c>
      <c r="G25">
        <v>1</v>
      </c>
      <c r="H25">
        <v>1</v>
      </c>
      <c r="I25" t="s">
        <v>261</v>
      </c>
      <c r="J25" t="s">
        <v>6</v>
      </c>
      <c r="K25" t="s">
        <v>262</v>
      </c>
      <c r="L25">
        <v>1369</v>
      </c>
      <c r="N25">
        <v>1013</v>
      </c>
      <c r="O25" t="s">
        <v>249</v>
      </c>
      <c r="P25" t="s">
        <v>249</v>
      </c>
      <c r="Q25">
        <v>1</v>
      </c>
      <c r="X25">
        <v>13.08</v>
      </c>
      <c r="Y25">
        <v>0</v>
      </c>
      <c r="Z25">
        <v>0</v>
      </c>
      <c r="AA25">
        <v>0</v>
      </c>
      <c r="AB25">
        <v>9.7100000000000009</v>
      </c>
      <c r="AC25">
        <v>0</v>
      </c>
      <c r="AD25">
        <v>1</v>
      </c>
      <c r="AE25">
        <v>1</v>
      </c>
      <c r="AF25" t="s">
        <v>6</v>
      </c>
      <c r="AG25">
        <v>13.08</v>
      </c>
      <c r="AH25">
        <v>2</v>
      </c>
      <c r="AI25">
        <v>74242752</v>
      </c>
      <c r="AJ25">
        <v>25</v>
      </c>
      <c r="AK25">
        <v>0</v>
      </c>
      <c r="AL25">
        <v>0</v>
      </c>
      <c r="AM25">
        <v>0</v>
      </c>
      <c r="AN25">
        <v>0</v>
      </c>
      <c r="AO25">
        <v>0</v>
      </c>
      <c r="AP25">
        <v>0</v>
      </c>
      <c r="AQ25">
        <v>0</v>
      </c>
      <c r="AR25">
        <v>0</v>
      </c>
    </row>
    <row r="26" spans="1:44" x14ac:dyDescent="0.2">
      <c r="A26">
        <f>ROW(Source!A39)</f>
        <v>39</v>
      </c>
      <c r="B26">
        <v>74242762</v>
      </c>
      <c r="C26">
        <v>74242751</v>
      </c>
      <c r="D26">
        <v>121548</v>
      </c>
      <c r="E26">
        <v>1</v>
      </c>
      <c r="F26">
        <v>1</v>
      </c>
      <c r="G26">
        <v>1</v>
      </c>
      <c r="H26">
        <v>1</v>
      </c>
      <c r="I26" t="s">
        <v>40</v>
      </c>
      <c r="J26" t="s">
        <v>6</v>
      </c>
      <c r="K26" t="s">
        <v>250</v>
      </c>
      <c r="L26">
        <v>608254</v>
      </c>
      <c r="N26">
        <v>1013</v>
      </c>
      <c r="O26" t="s">
        <v>251</v>
      </c>
      <c r="P26" t="s">
        <v>251</v>
      </c>
      <c r="Q26">
        <v>1</v>
      </c>
      <c r="X26">
        <v>0.08</v>
      </c>
      <c r="Y26">
        <v>0</v>
      </c>
      <c r="Z26">
        <v>0</v>
      </c>
      <c r="AA26">
        <v>0</v>
      </c>
      <c r="AB26">
        <v>0</v>
      </c>
      <c r="AC26">
        <v>0</v>
      </c>
      <c r="AD26">
        <v>1</v>
      </c>
      <c r="AE26">
        <v>2</v>
      </c>
      <c r="AF26" t="s">
        <v>6</v>
      </c>
      <c r="AG26">
        <v>0.08</v>
      </c>
      <c r="AH26">
        <v>2</v>
      </c>
      <c r="AI26">
        <v>74242753</v>
      </c>
      <c r="AJ26">
        <v>26</v>
      </c>
      <c r="AK26">
        <v>0</v>
      </c>
      <c r="AL26">
        <v>0</v>
      </c>
      <c r="AM26">
        <v>0</v>
      </c>
      <c r="AN26">
        <v>0</v>
      </c>
      <c r="AO26">
        <v>0</v>
      </c>
      <c r="AP26">
        <v>0</v>
      </c>
      <c r="AQ26">
        <v>0</v>
      </c>
      <c r="AR26">
        <v>0</v>
      </c>
    </row>
    <row r="27" spans="1:44" x14ac:dyDescent="0.2">
      <c r="A27">
        <f>ROW(Source!A39)</f>
        <v>39</v>
      </c>
      <c r="B27">
        <v>74242763</v>
      </c>
      <c r="C27">
        <v>74242751</v>
      </c>
      <c r="D27">
        <v>10844859</v>
      </c>
      <c r="E27">
        <v>1</v>
      </c>
      <c r="F27">
        <v>1</v>
      </c>
      <c r="G27">
        <v>1</v>
      </c>
      <c r="H27">
        <v>2</v>
      </c>
      <c r="I27" t="s">
        <v>263</v>
      </c>
      <c r="J27" t="s">
        <v>264</v>
      </c>
      <c r="K27" t="s">
        <v>265</v>
      </c>
      <c r="L27">
        <v>1480</v>
      </c>
      <c r="N27">
        <v>1013</v>
      </c>
      <c r="O27" t="s">
        <v>266</v>
      </c>
      <c r="P27" t="s">
        <v>267</v>
      </c>
      <c r="Q27">
        <v>1</v>
      </c>
      <c r="X27">
        <v>0.02</v>
      </c>
      <c r="Y27">
        <v>0</v>
      </c>
      <c r="Z27">
        <v>55.14</v>
      </c>
      <c r="AA27">
        <v>13.02</v>
      </c>
      <c r="AB27">
        <v>0</v>
      </c>
      <c r="AC27">
        <v>0</v>
      </c>
      <c r="AD27">
        <v>1</v>
      </c>
      <c r="AE27">
        <v>0</v>
      </c>
      <c r="AF27" t="s">
        <v>6</v>
      </c>
      <c r="AG27">
        <v>0.02</v>
      </c>
      <c r="AH27">
        <v>2</v>
      </c>
      <c r="AI27">
        <v>74242754</v>
      </c>
      <c r="AJ27">
        <v>27</v>
      </c>
      <c r="AK27">
        <v>0</v>
      </c>
      <c r="AL27">
        <v>0</v>
      </c>
      <c r="AM27">
        <v>0</v>
      </c>
      <c r="AN27">
        <v>0</v>
      </c>
      <c r="AO27">
        <v>0</v>
      </c>
      <c r="AP27">
        <v>0</v>
      </c>
      <c r="AQ27">
        <v>0</v>
      </c>
      <c r="AR27">
        <v>0</v>
      </c>
    </row>
    <row r="28" spans="1:44" x14ac:dyDescent="0.2">
      <c r="A28">
        <f>ROW(Source!A39)</f>
        <v>39</v>
      </c>
      <c r="B28">
        <v>74242764</v>
      </c>
      <c r="C28">
        <v>74242751</v>
      </c>
      <c r="D28">
        <v>35898338</v>
      </c>
      <c r="E28">
        <v>1</v>
      </c>
      <c r="F28">
        <v>1</v>
      </c>
      <c r="G28">
        <v>1</v>
      </c>
      <c r="H28">
        <v>2</v>
      </c>
      <c r="I28" t="s">
        <v>268</v>
      </c>
      <c r="J28" t="s">
        <v>269</v>
      </c>
      <c r="K28" t="s">
        <v>270</v>
      </c>
      <c r="L28">
        <v>1480</v>
      </c>
      <c r="N28">
        <v>1013</v>
      </c>
      <c r="O28" t="s">
        <v>266</v>
      </c>
      <c r="P28" t="s">
        <v>267</v>
      </c>
      <c r="Q28">
        <v>1</v>
      </c>
      <c r="X28">
        <v>0.61</v>
      </c>
      <c r="Y28">
        <v>0</v>
      </c>
      <c r="Z28">
        <v>2.0699999999999998</v>
      </c>
      <c r="AA28">
        <v>0</v>
      </c>
      <c r="AB28">
        <v>0</v>
      </c>
      <c r="AC28">
        <v>0</v>
      </c>
      <c r="AD28">
        <v>1</v>
      </c>
      <c r="AE28">
        <v>0</v>
      </c>
      <c r="AF28" t="s">
        <v>6</v>
      </c>
      <c r="AG28">
        <v>0.61</v>
      </c>
      <c r="AH28">
        <v>2</v>
      </c>
      <c r="AI28">
        <v>74242755</v>
      </c>
      <c r="AJ28">
        <v>28</v>
      </c>
      <c r="AK28">
        <v>0</v>
      </c>
      <c r="AL28">
        <v>0</v>
      </c>
      <c r="AM28">
        <v>0</v>
      </c>
      <c r="AN28">
        <v>0</v>
      </c>
      <c r="AO28">
        <v>0</v>
      </c>
      <c r="AP28">
        <v>0</v>
      </c>
      <c r="AQ28">
        <v>0</v>
      </c>
      <c r="AR28">
        <v>0</v>
      </c>
    </row>
    <row r="29" spans="1:44" x14ac:dyDescent="0.2">
      <c r="A29">
        <f>ROW(Source!A39)</f>
        <v>39</v>
      </c>
      <c r="B29">
        <v>74242765</v>
      </c>
      <c r="C29">
        <v>74242751</v>
      </c>
      <c r="D29">
        <v>10843192</v>
      </c>
      <c r="E29">
        <v>1</v>
      </c>
      <c r="F29">
        <v>1</v>
      </c>
      <c r="G29">
        <v>1</v>
      </c>
      <c r="H29">
        <v>2</v>
      </c>
      <c r="I29" t="s">
        <v>256</v>
      </c>
      <c r="J29" t="s">
        <v>271</v>
      </c>
      <c r="K29" t="s">
        <v>272</v>
      </c>
      <c r="L29">
        <v>1480</v>
      </c>
      <c r="N29">
        <v>1013</v>
      </c>
      <c r="O29" t="s">
        <v>266</v>
      </c>
      <c r="P29" t="s">
        <v>267</v>
      </c>
      <c r="Q29">
        <v>1</v>
      </c>
      <c r="X29">
        <v>0.06</v>
      </c>
      <c r="Y29">
        <v>0</v>
      </c>
      <c r="Z29">
        <v>85.94</v>
      </c>
      <c r="AA29">
        <v>0</v>
      </c>
      <c r="AB29">
        <v>0</v>
      </c>
      <c r="AC29">
        <v>0</v>
      </c>
      <c r="AD29">
        <v>1</v>
      </c>
      <c r="AE29">
        <v>0</v>
      </c>
      <c r="AF29" t="s">
        <v>6</v>
      </c>
      <c r="AG29">
        <v>0.06</v>
      </c>
      <c r="AH29">
        <v>2</v>
      </c>
      <c r="AI29">
        <v>74242756</v>
      </c>
      <c r="AJ29">
        <v>29</v>
      </c>
      <c r="AK29">
        <v>0</v>
      </c>
      <c r="AL29">
        <v>0</v>
      </c>
      <c r="AM29">
        <v>0</v>
      </c>
      <c r="AN29">
        <v>0</v>
      </c>
      <c r="AO29">
        <v>0</v>
      </c>
      <c r="AP29">
        <v>0</v>
      </c>
      <c r="AQ29">
        <v>0</v>
      </c>
      <c r="AR29">
        <v>0</v>
      </c>
    </row>
    <row r="30" spans="1:44" x14ac:dyDescent="0.2">
      <c r="A30">
        <f>ROW(Source!A39)</f>
        <v>39</v>
      </c>
      <c r="B30">
        <v>74242766</v>
      </c>
      <c r="C30">
        <v>74242751</v>
      </c>
      <c r="D30">
        <v>10841946</v>
      </c>
      <c r="E30">
        <v>1</v>
      </c>
      <c r="F30">
        <v>1</v>
      </c>
      <c r="G30">
        <v>1</v>
      </c>
      <c r="H30">
        <v>3</v>
      </c>
      <c r="I30" t="s">
        <v>61</v>
      </c>
      <c r="J30" t="s">
        <v>64</v>
      </c>
      <c r="K30" t="s">
        <v>62</v>
      </c>
      <c r="L30">
        <v>1327</v>
      </c>
      <c r="N30">
        <v>1005</v>
      </c>
      <c r="O30" t="s">
        <v>63</v>
      </c>
      <c r="P30" t="s">
        <v>63</v>
      </c>
      <c r="Q30">
        <v>1</v>
      </c>
      <c r="X30">
        <v>1.2E-2</v>
      </c>
      <c r="Y30">
        <v>57.14</v>
      </c>
      <c r="Z30">
        <v>0</v>
      </c>
      <c r="AA30">
        <v>0</v>
      </c>
      <c r="AB30">
        <v>0</v>
      </c>
      <c r="AC30">
        <v>0</v>
      </c>
      <c r="AD30">
        <v>1</v>
      </c>
      <c r="AE30">
        <v>0</v>
      </c>
      <c r="AF30" t="s">
        <v>6</v>
      </c>
      <c r="AG30">
        <v>1.2E-2</v>
      </c>
      <c r="AH30">
        <v>2</v>
      </c>
      <c r="AI30">
        <v>74242757</v>
      </c>
      <c r="AJ30">
        <v>30</v>
      </c>
      <c r="AK30">
        <v>3</v>
      </c>
      <c r="AL30">
        <v>-0.68568000000000007</v>
      </c>
      <c r="AM30">
        <v>0</v>
      </c>
      <c r="AN30">
        <v>0</v>
      </c>
      <c r="AO30">
        <v>0</v>
      </c>
      <c r="AP30">
        <v>0</v>
      </c>
      <c r="AQ30">
        <v>0</v>
      </c>
      <c r="AR30">
        <v>1</v>
      </c>
    </row>
    <row r="31" spans="1:44" x14ac:dyDescent="0.2">
      <c r="A31">
        <f>ROW(Source!A39)</f>
        <v>39</v>
      </c>
      <c r="B31">
        <v>74242767</v>
      </c>
      <c r="C31">
        <v>74242751</v>
      </c>
      <c r="D31">
        <v>35898278</v>
      </c>
      <c r="E31">
        <v>1</v>
      </c>
      <c r="F31">
        <v>1</v>
      </c>
      <c r="G31">
        <v>1</v>
      </c>
      <c r="H31">
        <v>3</v>
      </c>
      <c r="I31" t="s">
        <v>67</v>
      </c>
      <c r="J31" t="s">
        <v>69</v>
      </c>
      <c r="K31" t="s">
        <v>68</v>
      </c>
      <c r="L31">
        <v>1348</v>
      </c>
      <c r="N31">
        <v>1009</v>
      </c>
      <c r="O31" t="s">
        <v>44</v>
      </c>
      <c r="P31" t="s">
        <v>44</v>
      </c>
      <c r="Q31">
        <v>1000</v>
      </c>
      <c r="X31">
        <v>5.2999999999999999E-2</v>
      </c>
      <c r="Y31">
        <v>4319.75</v>
      </c>
      <c r="Z31">
        <v>0</v>
      </c>
      <c r="AA31">
        <v>0</v>
      </c>
      <c r="AB31">
        <v>0</v>
      </c>
      <c r="AC31">
        <v>0</v>
      </c>
      <c r="AD31">
        <v>1</v>
      </c>
      <c r="AE31">
        <v>0</v>
      </c>
      <c r="AF31" t="s">
        <v>6</v>
      </c>
      <c r="AG31">
        <v>5.2999999999999999E-2</v>
      </c>
      <c r="AH31">
        <v>2</v>
      </c>
      <c r="AI31">
        <v>74242758</v>
      </c>
      <c r="AJ31">
        <v>31</v>
      </c>
      <c r="AK31">
        <v>3</v>
      </c>
      <c r="AL31">
        <v>-228.94674999999998</v>
      </c>
      <c r="AM31">
        <v>0</v>
      </c>
      <c r="AN31">
        <v>0</v>
      </c>
      <c r="AO31">
        <v>0</v>
      </c>
      <c r="AP31">
        <v>0</v>
      </c>
      <c r="AQ31">
        <v>0</v>
      </c>
      <c r="AR31">
        <v>1</v>
      </c>
    </row>
    <row r="32" spans="1:44" x14ac:dyDescent="0.2">
      <c r="A32">
        <f>ROW(Source!A39)</f>
        <v>39</v>
      </c>
      <c r="B32">
        <v>74242768</v>
      </c>
      <c r="C32">
        <v>74242751</v>
      </c>
      <c r="D32">
        <v>10842105</v>
      </c>
      <c r="E32">
        <v>1</v>
      </c>
      <c r="F32">
        <v>1</v>
      </c>
      <c r="G32">
        <v>1</v>
      </c>
      <c r="H32">
        <v>3</v>
      </c>
      <c r="I32" t="s">
        <v>31</v>
      </c>
      <c r="J32" t="s">
        <v>276</v>
      </c>
      <c r="K32" t="s">
        <v>32</v>
      </c>
      <c r="L32">
        <v>1346</v>
      </c>
      <c r="N32">
        <v>1009</v>
      </c>
      <c r="O32" t="s">
        <v>33</v>
      </c>
      <c r="P32" t="s">
        <v>33</v>
      </c>
      <c r="Q32">
        <v>1</v>
      </c>
      <c r="X32">
        <v>0.15</v>
      </c>
      <c r="Y32">
        <v>3.19</v>
      </c>
      <c r="Z32">
        <v>0</v>
      </c>
      <c r="AA32">
        <v>0</v>
      </c>
      <c r="AB32">
        <v>0</v>
      </c>
      <c r="AC32">
        <v>0</v>
      </c>
      <c r="AD32">
        <v>1</v>
      </c>
      <c r="AE32">
        <v>0</v>
      </c>
      <c r="AF32" t="s">
        <v>6</v>
      </c>
      <c r="AG32">
        <v>0.15</v>
      </c>
      <c r="AH32">
        <v>2</v>
      </c>
      <c r="AI32">
        <v>74242759</v>
      </c>
      <c r="AJ32">
        <v>32</v>
      </c>
      <c r="AK32">
        <v>3</v>
      </c>
      <c r="AL32">
        <v>-0.47849999999999998</v>
      </c>
      <c r="AM32">
        <v>0</v>
      </c>
      <c r="AN32">
        <v>0</v>
      </c>
      <c r="AO32">
        <v>0</v>
      </c>
      <c r="AP32">
        <v>0</v>
      </c>
      <c r="AQ32">
        <v>0</v>
      </c>
      <c r="AR32">
        <v>1</v>
      </c>
    </row>
    <row r="33" spans="1:44" x14ac:dyDescent="0.2">
      <c r="A33">
        <f>ROW(Source!A39)</f>
        <v>39</v>
      </c>
      <c r="B33">
        <v>74242769</v>
      </c>
      <c r="C33">
        <v>74242751</v>
      </c>
      <c r="D33">
        <v>10825323</v>
      </c>
      <c r="E33">
        <v>1</v>
      </c>
      <c r="F33">
        <v>1</v>
      </c>
      <c r="G33">
        <v>1</v>
      </c>
      <c r="H33">
        <v>3</v>
      </c>
      <c r="I33" t="s">
        <v>73</v>
      </c>
      <c r="J33" t="s">
        <v>76</v>
      </c>
      <c r="K33" t="s">
        <v>74</v>
      </c>
      <c r="L33">
        <v>1339</v>
      </c>
      <c r="N33">
        <v>1007</v>
      </c>
      <c r="O33" t="s">
        <v>75</v>
      </c>
      <c r="P33" t="s">
        <v>75</v>
      </c>
      <c r="Q33">
        <v>1</v>
      </c>
      <c r="X33">
        <v>2.46E-2</v>
      </c>
      <c r="Y33">
        <v>7.14</v>
      </c>
      <c r="Z33">
        <v>0</v>
      </c>
      <c r="AA33">
        <v>0</v>
      </c>
      <c r="AB33">
        <v>0</v>
      </c>
      <c r="AC33">
        <v>0</v>
      </c>
      <c r="AD33">
        <v>1</v>
      </c>
      <c r="AE33">
        <v>0</v>
      </c>
      <c r="AF33" t="s">
        <v>6</v>
      </c>
      <c r="AG33">
        <v>2.46E-2</v>
      </c>
      <c r="AH33">
        <v>2</v>
      </c>
      <c r="AI33">
        <v>74242760</v>
      </c>
      <c r="AJ33">
        <v>33</v>
      </c>
      <c r="AK33">
        <v>3</v>
      </c>
      <c r="AL33">
        <v>-0.17564399999999999</v>
      </c>
      <c r="AM33">
        <v>0</v>
      </c>
      <c r="AN33">
        <v>0</v>
      </c>
      <c r="AO33">
        <v>0</v>
      </c>
      <c r="AP33">
        <v>0</v>
      </c>
      <c r="AQ33">
        <v>0</v>
      </c>
      <c r="AR33">
        <v>1</v>
      </c>
    </row>
    <row r="34" spans="1:44" x14ac:dyDescent="0.2">
      <c r="A34">
        <f>ROW(Source!A40)</f>
        <v>40</v>
      </c>
      <c r="B34">
        <v>74242761</v>
      </c>
      <c r="C34">
        <v>74242751</v>
      </c>
      <c r="D34">
        <v>5510968</v>
      </c>
      <c r="E34">
        <v>1</v>
      </c>
      <c r="F34">
        <v>1</v>
      </c>
      <c r="G34">
        <v>1</v>
      </c>
      <c r="H34">
        <v>1</v>
      </c>
      <c r="I34" t="s">
        <v>261</v>
      </c>
      <c r="J34" t="s">
        <v>6</v>
      </c>
      <c r="K34" t="s">
        <v>262</v>
      </c>
      <c r="L34">
        <v>1369</v>
      </c>
      <c r="N34">
        <v>1013</v>
      </c>
      <c r="O34" t="s">
        <v>249</v>
      </c>
      <c r="P34" t="s">
        <v>249</v>
      </c>
      <c r="Q34">
        <v>1</v>
      </c>
      <c r="X34">
        <v>13.08</v>
      </c>
      <c r="Y34">
        <v>0</v>
      </c>
      <c r="Z34">
        <v>0</v>
      </c>
      <c r="AA34">
        <v>0</v>
      </c>
      <c r="AB34">
        <v>9.7100000000000009</v>
      </c>
      <c r="AC34">
        <v>0</v>
      </c>
      <c r="AD34">
        <v>1</v>
      </c>
      <c r="AE34">
        <v>1</v>
      </c>
      <c r="AF34" t="s">
        <v>6</v>
      </c>
      <c r="AG34">
        <v>13.08</v>
      </c>
      <c r="AH34">
        <v>2</v>
      </c>
      <c r="AI34">
        <v>74242752</v>
      </c>
      <c r="AJ34">
        <v>34</v>
      </c>
      <c r="AK34">
        <v>0</v>
      </c>
      <c r="AL34">
        <v>0</v>
      </c>
      <c r="AM34">
        <v>0</v>
      </c>
      <c r="AN34">
        <v>0</v>
      </c>
      <c r="AO34">
        <v>0</v>
      </c>
      <c r="AP34">
        <v>0</v>
      </c>
      <c r="AQ34">
        <v>0</v>
      </c>
      <c r="AR34">
        <v>0</v>
      </c>
    </row>
    <row r="35" spans="1:44" x14ac:dyDescent="0.2">
      <c r="A35">
        <f>ROW(Source!A40)</f>
        <v>40</v>
      </c>
      <c r="B35">
        <v>74242762</v>
      </c>
      <c r="C35">
        <v>74242751</v>
      </c>
      <c r="D35">
        <v>121548</v>
      </c>
      <c r="E35">
        <v>1</v>
      </c>
      <c r="F35">
        <v>1</v>
      </c>
      <c r="G35">
        <v>1</v>
      </c>
      <c r="H35">
        <v>1</v>
      </c>
      <c r="I35" t="s">
        <v>40</v>
      </c>
      <c r="J35" t="s">
        <v>6</v>
      </c>
      <c r="K35" t="s">
        <v>250</v>
      </c>
      <c r="L35">
        <v>608254</v>
      </c>
      <c r="N35">
        <v>1013</v>
      </c>
      <c r="O35" t="s">
        <v>251</v>
      </c>
      <c r="P35" t="s">
        <v>251</v>
      </c>
      <c r="Q35">
        <v>1</v>
      </c>
      <c r="X35">
        <v>0.08</v>
      </c>
      <c r="Y35">
        <v>0</v>
      </c>
      <c r="Z35">
        <v>0</v>
      </c>
      <c r="AA35">
        <v>0</v>
      </c>
      <c r="AB35">
        <v>0</v>
      </c>
      <c r="AC35">
        <v>0</v>
      </c>
      <c r="AD35">
        <v>1</v>
      </c>
      <c r="AE35">
        <v>2</v>
      </c>
      <c r="AF35" t="s">
        <v>6</v>
      </c>
      <c r="AG35">
        <v>0.08</v>
      </c>
      <c r="AH35">
        <v>2</v>
      </c>
      <c r="AI35">
        <v>74242753</v>
      </c>
      <c r="AJ35">
        <v>35</v>
      </c>
      <c r="AK35">
        <v>0</v>
      </c>
      <c r="AL35">
        <v>0</v>
      </c>
      <c r="AM35">
        <v>0</v>
      </c>
      <c r="AN35">
        <v>0</v>
      </c>
      <c r="AO35">
        <v>0</v>
      </c>
      <c r="AP35">
        <v>0</v>
      </c>
      <c r="AQ35">
        <v>0</v>
      </c>
      <c r="AR35">
        <v>0</v>
      </c>
    </row>
    <row r="36" spans="1:44" x14ac:dyDescent="0.2">
      <c r="A36">
        <f>ROW(Source!A40)</f>
        <v>40</v>
      </c>
      <c r="B36">
        <v>74242763</v>
      </c>
      <c r="C36">
        <v>74242751</v>
      </c>
      <c r="D36">
        <v>10844859</v>
      </c>
      <c r="E36">
        <v>1</v>
      </c>
      <c r="F36">
        <v>1</v>
      </c>
      <c r="G36">
        <v>1</v>
      </c>
      <c r="H36">
        <v>2</v>
      </c>
      <c r="I36" t="s">
        <v>263</v>
      </c>
      <c r="J36" t="s">
        <v>264</v>
      </c>
      <c r="K36" t="s">
        <v>265</v>
      </c>
      <c r="L36">
        <v>1480</v>
      </c>
      <c r="N36">
        <v>1013</v>
      </c>
      <c r="O36" t="s">
        <v>266</v>
      </c>
      <c r="P36" t="s">
        <v>267</v>
      </c>
      <c r="Q36">
        <v>1</v>
      </c>
      <c r="X36">
        <v>0.02</v>
      </c>
      <c r="Y36">
        <v>0</v>
      </c>
      <c r="Z36">
        <v>55.14</v>
      </c>
      <c r="AA36">
        <v>13.02</v>
      </c>
      <c r="AB36">
        <v>0</v>
      </c>
      <c r="AC36">
        <v>0</v>
      </c>
      <c r="AD36">
        <v>1</v>
      </c>
      <c r="AE36">
        <v>0</v>
      </c>
      <c r="AF36" t="s">
        <v>6</v>
      </c>
      <c r="AG36">
        <v>0.02</v>
      </c>
      <c r="AH36">
        <v>2</v>
      </c>
      <c r="AI36">
        <v>74242754</v>
      </c>
      <c r="AJ36">
        <v>36</v>
      </c>
      <c r="AK36">
        <v>0</v>
      </c>
      <c r="AL36">
        <v>0</v>
      </c>
      <c r="AM36">
        <v>0</v>
      </c>
      <c r="AN36">
        <v>0</v>
      </c>
      <c r="AO36">
        <v>0</v>
      </c>
      <c r="AP36">
        <v>0</v>
      </c>
      <c r="AQ36">
        <v>0</v>
      </c>
      <c r="AR36">
        <v>0</v>
      </c>
    </row>
    <row r="37" spans="1:44" x14ac:dyDescent="0.2">
      <c r="A37">
        <f>ROW(Source!A40)</f>
        <v>40</v>
      </c>
      <c r="B37">
        <v>74242764</v>
      </c>
      <c r="C37">
        <v>74242751</v>
      </c>
      <c r="D37">
        <v>35898338</v>
      </c>
      <c r="E37">
        <v>1</v>
      </c>
      <c r="F37">
        <v>1</v>
      </c>
      <c r="G37">
        <v>1</v>
      </c>
      <c r="H37">
        <v>2</v>
      </c>
      <c r="I37" t="s">
        <v>268</v>
      </c>
      <c r="J37" t="s">
        <v>269</v>
      </c>
      <c r="K37" t="s">
        <v>270</v>
      </c>
      <c r="L37">
        <v>1480</v>
      </c>
      <c r="N37">
        <v>1013</v>
      </c>
      <c r="O37" t="s">
        <v>266</v>
      </c>
      <c r="P37" t="s">
        <v>267</v>
      </c>
      <c r="Q37">
        <v>1</v>
      </c>
      <c r="X37">
        <v>0.61</v>
      </c>
      <c r="Y37">
        <v>0</v>
      </c>
      <c r="Z37">
        <v>2.0699999999999998</v>
      </c>
      <c r="AA37">
        <v>0</v>
      </c>
      <c r="AB37">
        <v>0</v>
      </c>
      <c r="AC37">
        <v>0</v>
      </c>
      <c r="AD37">
        <v>1</v>
      </c>
      <c r="AE37">
        <v>0</v>
      </c>
      <c r="AF37" t="s">
        <v>6</v>
      </c>
      <c r="AG37">
        <v>0.61</v>
      </c>
      <c r="AH37">
        <v>2</v>
      </c>
      <c r="AI37">
        <v>74242755</v>
      </c>
      <c r="AJ37">
        <v>37</v>
      </c>
      <c r="AK37">
        <v>0</v>
      </c>
      <c r="AL37">
        <v>0</v>
      </c>
      <c r="AM37">
        <v>0</v>
      </c>
      <c r="AN37">
        <v>0</v>
      </c>
      <c r="AO37">
        <v>0</v>
      </c>
      <c r="AP37">
        <v>0</v>
      </c>
      <c r="AQ37">
        <v>0</v>
      </c>
      <c r="AR37">
        <v>0</v>
      </c>
    </row>
    <row r="38" spans="1:44" x14ac:dyDescent="0.2">
      <c r="A38">
        <f>ROW(Source!A40)</f>
        <v>40</v>
      </c>
      <c r="B38">
        <v>74242765</v>
      </c>
      <c r="C38">
        <v>74242751</v>
      </c>
      <c r="D38">
        <v>10843192</v>
      </c>
      <c r="E38">
        <v>1</v>
      </c>
      <c r="F38">
        <v>1</v>
      </c>
      <c r="G38">
        <v>1</v>
      </c>
      <c r="H38">
        <v>2</v>
      </c>
      <c r="I38" t="s">
        <v>256</v>
      </c>
      <c r="J38" t="s">
        <v>271</v>
      </c>
      <c r="K38" t="s">
        <v>272</v>
      </c>
      <c r="L38">
        <v>1480</v>
      </c>
      <c r="N38">
        <v>1013</v>
      </c>
      <c r="O38" t="s">
        <v>266</v>
      </c>
      <c r="P38" t="s">
        <v>267</v>
      </c>
      <c r="Q38">
        <v>1</v>
      </c>
      <c r="X38">
        <v>0.06</v>
      </c>
      <c r="Y38">
        <v>0</v>
      </c>
      <c r="Z38">
        <v>85.94</v>
      </c>
      <c r="AA38">
        <v>0</v>
      </c>
      <c r="AB38">
        <v>0</v>
      </c>
      <c r="AC38">
        <v>0</v>
      </c>
      <c r="AD38">
        <v>1</v>
      </c>
      <c r="AE38">
        <v>0</v>
      </c>
      <c r="AF38" t="s">
        <v>6</v>
      </c>
      <c r="AG38">
        <v>0.06</v>
      </c>
      <c r="AH38">
        <v>2</v>
      </c>
      <c r="AI38">
        <v>74242756</v>
      </c>
      <c r="AJ38">
        <v>38</v>
      </c>
      <c r="AK38">
        <v>0</v>
      </c>
      <c r="AL38">
        <v>0</v>
      </c>
      <c r="AM38">
        <v>0</v>
      </c>
      <c r="AN38">
        <v>0</v>
      </c>
      <c r="AO38">
        <v>0</v>
      </c>
      <c r="AP38">
        <v>0</v>
      </c>
      <c r="AQ38">
        <v>0</v>
      </c>
      <c r="AR38">
        <v>0</v>
      </c>
    </row>
    <row r="39" spans="1:44" x14ac:dyDescent="0.2">
      <c r="A39">
        <f>ROW(Source!A40)</f>
        <v>40</v>
      </c>
      <c r="B39">
        <v>74242766</v>
      </c>
      <c r="C39">
        <v>74242751</v>
      </c>
      <c r="D39">
        <v>10841946</v>
      </c>
      <c r="E39">
        <v>1</v>
      </c>
      <c r="F39">
        <v>1</v>
      </c>
      <c r="G39">
        <v>1</v>
      </c>
      <c r="H39">
        <v>3</v>
      </c>
      <c r="I39" t="s">
        <v>61</v>
      </c>
      <c r="J39" t="s">
        <v>64</v>
      </c>
      <c r="K39" t="s">
        <v>62</v>
      </c>
      <c r="L39">
        <v>1327</v>
      </c>
      <c r="N39">
        <v>1005</v>
      </c>
      <c r="O39" t="s">
        <v>63</v>
      </c>
      <c r="P39" t="s">
        <v>63</v>
      </c>
      <c r="Q39">
        <v>1</v>
      </c>
      <c r="X39">
        <v>1.2E-2</v>
      </c>
      <c r="Y39">
        <v>57.14</v>
      </c>
      <c r="Z39">
        <v>0</v>
      </c>
      <c r="AA39">
        <v>0</v>
      </c>
      <c r="AB39">
        <v>0</v>
      </c>
      <c r="AC39">
        <v>0</v>
      </c>
      <c r="AD39">
        <v>1</v>
      </c>
      <c r="AE39">
        <v>0</v>
      </c>
      <c r="AF39" t="s">
        <v>6</v>
      </c>
      <c r="AG39">
        <v>1.2E-2</v>
      </c>
      <c r="AH39">
        <v>2</v>
      </c>
      <c r="AI39">
        <v>74242757</v>
      </c>
      <c r="AJ39">
        <v>39</v>
      </c>
      <c r="AK39">
        <v>3</v>
      </c>
      <c r="AL39">
        <v>-0.68568000000000007</v>
      </c>
      <c r="AM39">
        <v>0</v>
      </c>
      <c r="AN39">
        <v>0</v>
      </c>
      <c r="AO39">
        <v>0</v>
      </c>
      <c r="AP39">
        <v>0</v>
      </c>
      <c r="AQ39">
        <v>0</v>
      </c>
      <c r="AR39">
        <v>1</v>
      </c>
    </row>
    <row r="40" spans="1:44" x14ac:dyDescent="0.2">
      <c r="A40">
        <f>ROW(Source!A40)</f>
        <v>40</v>
      </c>
      <c r="B40">
        <v>74242767</v>
      </c>
      <c r="C40">
        <v>74242751</v>
      </c>
      <c r="D40">
        <v>35898278</v>
      </c>
      <c r="E40">
        <v>1</v>
      </c>
      <c r="F40">
        <v>1</v>
      </c>
      <c r="G40">
        <v>1</v>
      </c>
      <c r="H40">
        <v>3</v>
      </c>
      <c r="I40" t="s">
        <v>67</v>
      </c>
      <c r="J40" t="s">
        <v>69</v>
      </c>
      <c r="K40" t="s">
        <v>68</v>
      </c>
      <c r="L40">
        <v>1348</v>
      </c>
      <c r="N40">
        <v>1009</v>
      </c>
      <c r="O40" t="s">
        <v>44</v>
      </c>
      <c r="P40" t="s">
        <v>44</v>
      </c>
      <c r="Q40">
        <v>1000</v>
      </c>
      <c r="X40">
        <v>5.2999999999999999E-2</v>
      </c>
      <c r="Y40">
        <v>4319.75</v>
      </c>
      <c r="Z40">
        <v>0</v>
      </c>
      <c r="AA40">
        <v>0</v>
      </c>
      <c r="AB40">
        <v>0</v>
      </c>
      <c r="AC40">
        <v>0</v>
      </c>
      <c r="AD40">
        <v>1</v>
      </c>
      <c r="AE40">
        <v>0</v>
      </c>
      <c r="AF40" t="s">
        <v>6</v>
      </c>
      <c r="AG40">
        <v>5.2999999999999999E-2</v>
      </c>
      <c r="AH40">
        <v>2</v>
      </c>
      <c r="AI40">
        <v>74242758</v>
      </c>
      <c r="AJ40">
        <v>40</v>
      </c>
      <c r="AK40">
        <v>3</v>
      </c>
      <c r="AL40">
        <v>-228.94674999999998</v>
      </c>
      <c r="AM40">
        <v>0</v>
      </c>
      <c r="AN40">
        <v>0</v>
      </c>
      <c r="AO40">
        <v>0</v>
      </c>
      <c r="AP40">
        <v>0</v>
      </c>
      <c r="AQ40">
        <v>0</v>
      </c>
      <c r="AR40">
        <v>1</v>
      </c>
    </row>
    <row r="41" spans="1:44" x14ac:dyDescent="0.2">
      <c r="A41">
        <f>ROW(Source!A40)</f>
        <v>40</v>
      </c>
      <c r="B41">
        <v>74242768</v>
      </c>
      <c r="C41">
        <v>74242751</v>
      </c>
      <c r="D41">
        <v>10842105</v>
      </c>
      <c r="E41">
        <v>1</v>
      </c>
      <c r="F41">
        <v>1</v>
      </c>
      <c r="G41">
        <v>1</v>
      </c>
      <c r="H41">
        <v>3</v>
      </c>
      <c r="I41" t="s">
        <v>31</v>
      </c>
      <c r="J41" t="s">
        <v>276</v>
      </c>
      <c r="K41" t="s">
        <v>32</v>
      </c>
      <c r="L41">
        <v>1346</v>
      </c>
      <c r="N41">
        <v>1009</v>
      </c>
      <c r="O41" t="s">
        <v>33</v>
      </c>
      <c r="P41" t="s">
        <v>33</v>
      </c>
      <c r="Q41">
        <v>1</v>
      </c>
      <c r="X41">
        <v>0.15</v>
      </c>
      <c r="Y41">
        <v>3.19</v>
      </c>
      <c r="Z41">
        <v>0</v>
      </c>
      <c r="AA41">
        <v>0</v>
      </c>
      <c r="AB41">
        <v>0</v>
      </c>
      <c r="AC41">
        <v>0</v>
      </c>
      <c r="AD41">
        <v>1</v>
      </c>
      <c r="AE41">
        <v>0</v>
      </c>
      <c r="AF41" t="s">
        <v>6</v>
      </c>
      <c r="AG41">
        <v>0.15</v>
      </c>
      <c r="AH41">
        <v>2</v>
      </c>
      <c r="AI41">
        <v>74242759</v>
      </c>
      <c r="AJ41">
        <v>41</v>
      </c>
      <c r="AK41">
        <v>3</v>
      </c>
      <c r="AL41">
        <v>-0.47849999999999998</v>
      </c>
      <c r="AM41">
        <v>0</v>
      </c>
      <c r="AN41">
        <v>0</v>
      </c>
      <c r="AO41">
        <v>0</v>
      </c>
      <c r="AP41">
        <v>0</v>
      </c>
      <c r="AQ41">
        <v>0</v>
      </c>
      <c r="AR41">
        <v>1</v>
      </c>
    </row>
    <row r="42" spans="1:44" x14ac:dyDescent="0.2">
      <c r="A42">
        <f>ROW(Source!A40)</f>
        <v>40</v>
      </c>
      <c r="B42">
        <v>74242769</v>
      </c>
      <c r="C42">
        <v>74242751</v>
      </c>
      <c r="D42">
        <v>10825323</v>
      </c>
      <c r="E42">
        <v>1</v>
      </c>
      <c r="F42">
        <v>1</v>
      </c>
      <c r="G42">
        <v>1</v>
      </c>
      <c r="H42">
        <v>3</v>
      </c>
      <c r="I42" t="s">
        <v>73</v>
      </c>
      <c r="J42" t="s">
        <v>76</v>
      </c>
      <c r="K42" t="s">
        <v>74</v>
      </c>
      <c r="L42">
        <v>1339</v>
      </c>
      <c r="N42">
        <v>1007</v>
      </c>
      <c r="O42" t="s">
        <v>75</v>
      </c>
      <c r="P42" t="s">
        <v>75</v>
      </c>
      <c r="Q42">
        <v>1</v>
      </c>
      <c r="X42">
        <v>2.46E-2</v>
      </c>
      <c r="Y42">
        <v>7.14</v>
      </c>
      <c r="Z42">
        <v>0</v>
      </c>
      <c r="AA42">
        <v>0</v>
      </c>
      <c r="AB42">
        <v>0</v>
      </c>
      <c r="AC42">
        <v>0</v>
      </c>
      <c r="AD42">
        <v>1</v>
      </c>
      <c r="AE42">
        <v>0</v>
      </c>
      <c r="AF42" t="s">
        <v>6</v>
      </c>
      <c r="AG42">
        <v>2.46E-2</v>
      </c>
      <c r="AH42">
        <v>2</v>
      </c>
      <c r="AI42">
        <v>74242760</v>
      </c>
      <c r="AJ42">
        <v>42</v>
      </c>
      <c r="AK42">
        <v>3</v>
      </c>
      <c r="AL42">
        <v>-0.17564399999999999</v>
      </c>
      <c r="AM42">
        <v>0</v>
      </c>
      <c r="AN42">
        <v>0</v>
      </c>
      <c r="AO42">
        <v>0</v>
      </c>
      <c r="AP42">
        <v>0</v>
      </c>
      <c r="AQ42">
        <v>0</v>
      </c>
      <c r="AR42">
        <v>1</v>
      </c>
    </row>
    <row r="43" spans="1:44" x14ac:dyDescent="0.2">
      <c r="A43">
        <f>ROW(Source!A49)</f>
        <v>49</v>
      </c>
      <c r="B43">
        <v>74242784</v>
      </c>
      <c r="C43">
        <v>74242774</v>
      </c>
      <c r="D43">
        <v>5510968</v>
      </c>
      <c r="E43">
        <v>1</v>
      </c>
      <c r="F43">
        <v>1</v>
      </c>
      <c r="G43">
        <v>1</v>
      </c>
      <c r="H43">
        <v>1</v>
      </c>
      <c r="I43" t="s">
        <v>261</v>
      </c>
      <c r="J43" t="s">
        <v>6</v>
      </c>
      <c r="K43" t="s">
        <v>262</v>
      </c>
      <c r="L43">
        <v>1369</v>
      </c>
      <c r="N43">
        <v>1013</v>
      </c>
      <c r="O43" t="s">
        <v>249</v>
      </c>
      <c r="P43" t="s">
        <v>249</v>
      </c>
      <c r="Q43">
        <v>1</v>
      </c>
      <c r="X43">
        <v>14.68</v>
      </c>
      <c r="Y43">
        <v>0</v>
      </c>
      <c r="Z43">
        <v>0</v>
      </c>
      <c r="AA43">
        <v>0</v>
      </c>
      <c r="AB43">
        <v>9.7100000000000009</v>
      </c>
      <c r="AC43">
        <v>0</v>
      </c>
      <c r="AD43">
        <v>1</v>
      </c>
      <c r="AE43">
        <v>1</v>
      </c>
      <c r="AF43" t="s">
        <v>6</v>
      </c>
      <c r="AG43">
        <v>14.68</v>
      </c>
      <c r="AH43">
        <v>2</v>
      </c>
      <c r="AI43">
        <v>74242775</v>
      </c>
      <c r="AJ43">
        <v>43</v>
      </c>
      <c r="AK43">
        <v>0</v>
      </c>
      <c r="AL43">
        <v>0</v>
      </c>
      <c r="AM43">
        <v>0</v>
      </c>
      <c r="AN43">
        <v>0</v>
      </c>
      <c r="AO43">
        <v>0</v>
      </c>
      <c r="AP43">
        <v>0</v>
      </c>
      <c r="AQ43">
        <v>0</v>
      </c>
      <c r="AR43">
        <v>0</v>
      </c>
    </row>
    <row r="44" spans="1:44" x14ac:dyDescent="0.2">
      <c r="A44">
        <f>ROW(Source!A49)</f>
        <v>49</v>
      </c>
      <c r="B44">
        <v>74242785</v>
      </c>
      <c r="C44">
        <v>74242774</v>
      </c>
      <c r="D44">
        <v>121548</v>
      </c>
      <c r="E44">
        <v>1</v>
      </c>
      <c r="F44">
        <v>1</v>
      </c>
      <c r="G44">
        <v>1</v>
      </c>
      <c r="H44">
        <v>1</v>
      </c>
      <c r="I44" t="s">
        <v>40</v>
      </c>
      <c r="J44" t="s">
        <v>6</v>
      </c>
      <c r="K44" t="s">
        <v>250</v>
      </c>
      <c r="L44">
        <v>608254</v>
      </c>
      <c r="N44">
        <v>1013</v>
      </c>
      <c r="O44" t="s">
        <v>251</v>
      </c>
      <c r="P44" t="s">
        <v>251</v>
      </c>
      <c r="Q44">
        <v>1</v>
      </c>
      <c r="X44">
        <v>0.08</v>
      </c>
      <c r="Y44">
        <v>0</v>
      </c>
      <c r="Z44">
        <v>0</v>
      </c>
      <c r="AA44">
        <v>0</v>
      </c>
      <c r="AB44">
        <v>0</v>
      </c>
      <c r="AC44">
        <v>0</v>
      </c>
      <c r="AD44">
        <v>1</v>
      </c>
      <c r="AE44">
        <v>2</v>
      </c>
      <c r="AF44" t="s">
        <v>6</v>
      </c>
      <c r="AG44">
        <v>0.08</v>
      </c>
      <c r="AH44">
        <v>2</v>
      </c>
      <c r="AI44">
        <v>74242776</v>
      </c>
      <c r="AJ44">
        <v>44</v>
      </c>
      <c r="AK44">
        <v>0</v>
      </c>
      <c r="AL44">
        <v>0</v>
      </c>
      <c r="AM44">
        <v>0</v>
      </c>
      <c r="AN44">
        <v>0</v>
      </c>
      <c r="AO44">
        <v>0</v>
      </c>
      <c r="AP44">
        <v>0</v>
      </c>
      <c r="AQ44">
        <v>0</v>
      </c>
      <c r="AR44">
        <v>0</v>
      </c>
    </row>
    <row r="45" spans="1:44" x14ac:dyDescent="0.2">
      <c r="A45">
        <f>ROW(Source!A49)</f>
        <v>49</v>
      </c>
      <c r="B45">
        <v>74242786</v>
      </c>
      <c r="C45">
        <v>74242774</v>
      </c>
      <c r="D45">
        <v>10844859</v>
      </c>
      <c r="E45">
        <v>1</v>
      </c>
      <c r="F45">
        <v>1</v>
      </c>
      <c r="G45">
        <v>1</v>
      </c>
      <c r="H45">
        <v>2</v>
      </c>
      <c r="I45" t="s">
        <v>263</v>
      </c>
      <c r="J45" t="s">
        <v>264</v>
      </c>
      <c r="K45" t="s">
        <v>265</v>
      </c>
      <c r="L45">
        <v>1480</v>
      </c>
      <c r="N45">
        <v>1013</v>
      </c>
      <c r="O45" t="s">
        <v>266</v>
      </c>
      <c r="P45" t="s">
        <v>267</v>
      </c>
      <c r="Q45">
        <v>1</v>
      </c>
      <c r="X45">
        <v>0.02</v>
      </c>
      <c r="Y45">
        <v>0</v>
      </c>
      <c r="Z45">
        <v>55.14</v>
      </c>
      <c r="AA45">
        <v>13.02</v>
      </c>
      <c r="AB45">
        <v>0</v>
      </c>
      <c r="AC45">
        <v>0</v>
      </c>
      <c r="AD45">
        <v>1</v>
      </c>
      <c r="AE45">
        <v>0</v>
      </c>
      <c r="AF45" t="s">
        <v>6</v>
      </c>
      <c r="AG45">
        <v>0.02</v>
      </c>
      <c r="AH45">
        <v>2</v>
      </c>
      <c r="AI45">
        <v>74242777</v>
      </c>
      <c r="AJ45">
        <v>45</v>
      </c>
      <c r="AK45">
        <v>0</v>
      </c>
      <c r="AL45">
        <v>0</v>
      </c>
      <c r="AM45">
        <v>0</v>
      </c>
      <c r="AN45">
        <v>0</v>
      </c>
      <c r="AO45">
        <v>0</v>
      </c>
      <c r="AP45">
        <v>0</v>
      </c>
      <c r="AQ45">
        <v>0</v>
      </c>
      <c r="AR45">
        <v>0</v>
      </c>
    </row>
    <row r="46" spans="1:44" x14ac:dyDescent="0.2">
      <c r="A46">
        <f>ROW(Source!A49)</f>
        <v>49</v>
      </c>
      <c r="B46">
        <v>74242787</v>
      </c>
      <c r="C46">
        <v>74242774</v>
      </c>
      <c r="D46">
        <v>35898338</v>
      </c>
      <c r="E46">
        <v>1</v>
      </c>
      <c r="F46">
        <v>1</v>
      </c>
      <c r="G46">
        <v>1</v>
      </c>
      <c r="H46">
        <v>2</v>
      </c>
      <c r="I46" t="s">
        <v>268</v>
      </c>
      <c r="J46" t="s">
        <v>269</v>
      </c>
      <c r="K46" t="s">
        <v>270</v>
      </c>
      <c r="L46">
        <v>1480</v>
      </c>
      <c r="N46">
        <v>1013</v>
      </c>
      <c r="O46" t="s">
        <v>266</v>
      </c>
      <c r="P46" t="s">
        <v>267</v>
      </c>
      <c r="Q46">
        <v>1</v>
      </c>
      <c r="X46">
        <v>0.92</v>
      </c>
      <c r="Y46">
        <v>0</v>
      </c>
      <c r="Z46">
        <v>2.0699999999999998</v>
      </c>
      <c r="AA46">
        <v>0</v>
      </c>
      <c r="AB46">
        <v>0</v>
      </c>
      <c r="AC46">
        <v>0</v>
      </c>
      <c r="AD46">
        <v>1</v>
      </c>
      <c r="AE46">
        <v>0</v>
      </c>
      <c r="AF46" t="s">
        <v>6</v>
      </c>
      <c r="AG46">
        <v>0.92</v>
      </c>
      <c r="AH46">
        <v>2</v>
      </c>
      <c r="AI46">
        <v>74242778</v>
      </c>
      <c r="AJ46">
        <v>46</v>
      </c>
      <c r="AK46">
        <v>0</v>
      </c>
      <c r="AL46">
        <v>0</v>
      </c>
      <c r="AM46">
        <v>0</v>
      </c>
      <c r="AN46">
        <v>0</v>
      </c>
      <c r="AO46">
        <v>0</v>
      </c>
      <c r="AP46">
        <v>0</v>
      </c>
      <c r="AQ46">
        <v>0</v>
      </c>
      <c r="AR46">
        <v>0</v>
      </c>
    </row>
    <row r="47" spans="1:44" x14ac:dyDescent="0.2">
      <c r="A47">
        <f>ROW(Source!A49)</f>
        <v>49</v>
      </c>
      <c r="B47">
        <v>74242788</v>
      </c>
      <c r="C47">
        <v>74242774</v>
      </c>
      <c r="D47">
        <v>10843192</v>
      </c>
      <c r="E47">
        <v>1</v>
      </c>
      <c r="F47">
        <v>1</v>
      </c>
      <c r="G47">
        <v>1</v>
      </c>
      <c r="H47">
        <v>2</v>
      </c>
      <c r="I47" t="s">
        <v>256</v>
      </c>
      <c r="J47" t="s">
        <v>271</v>
      </c>
      <c r="K47" t="s">
        <v>272</v>
      </c>
      <c r="L47">
        <v>1480</v>
      </c>
      <c r="N47">
        <v>1013</v>
      </c>
      <c r="O47" t="s">
        <v>266</v>
      </c>
      <c r="P47" t="s">
        <v>267</v>
      </c>
      <c r="Q47">
        <v>1</v>
      </c>
      <c r="X47">
        <v>0.06</v>
      </c>
      <c r="Y47">
        <v>0</v>
      </c>
      <c r="Z47">
        <v>85.94</v>
      </c>
      <c r="AA47">
        <v>0</v>
      </c>
      <c r="AB47">
        <v>0</v>
      </c>
      <c r="AC47">
        <v>0</v>
      </c>
      <c r="AD47">
        <v>1</v>
      </c>
      <c r="AE47">
        <v>0</v>
      </c>
      <c r="AF47" t="s">
        <v>6</v>
      </c>
      <c r="AG47">
        <v>0.06</v>
      </c>
      <c r="AH47">
        <v>2</v>
      </c>
      <c r="AI47">
        <v>74242779</v>
      </c>
      <c r="AJ47">
        <v>47</v>
      </c>
      <c r="AK47">
        <v>0</v>
      </c>
      <c r="AL47">
        <v>0</v>
      </c>
      <c r="AM47">
        <v>0</v>
      </c>
      <c r="AN47">
        <v>0</v>
      </c>
      <c r="AO47">
        <v>0</v>
      </c>
      <c r="AP47">
        <v>0</v>
      </c>
      <c r="AQ47">
        <v>0</v>
      </c>
      <c r="AR47">
        <v>0</v>
      </c>
    </row>
    <row r="48" spans="1:44" x14ac:dyDescent="0.2">
      <c r="A48">
        <f>ROW(Source!A49)</f>
        <v>49</v>
      </c>
      <c r="B48">
        <v>74242789</v>
      </c>
      <c r="C48">
        <v>74242774</v>
      </c>
      <c r="D48">
        <v>10841946</v>
      </c>
      <c r="E48">
        <v>1</v>
      </c>
      <c r="F48">
        <v>1</v>
      </c>
      <c r="G48">
        <v>1</v>
      </c>
      <c r="H48">
        <v>3</v>
      </c>
      <c r="I48" t="s">
        <v>61</v>
      </c>
      <c r="J48" t="s">
        <v>64</v>
      </c>
      <c r="K48" t="s">
        <v>62</v>
      </c>
      <c r="L48">
        <v>1327</v>
      </c>
      <c r="N48">
        <v>1005</v>
      </c>
      <c r="O48" t="s">
        <v>63</v>
      </c>
      <c r="P48" t="s">
        <v>63</v>
      </c>
      <c r="Q48">
        <v>1</v>
      </c>
      <c r="X48">
        <v>1.2E-2</v>
      </c>
      <c r="Y48">
        <v>57.14</v>
      </c>
      <c r="Z48">
        <v>0</v>
      </c>
      <c r="AA48">
        <v>0</v>
      </c>
      <c r="AB48">
        <v>0</v>
      </c>
      <c r="AC48">
        <v>0</v>
      </c>
      <c r="AD48">
        <v>1</v>
      </c>
      <c r="AE48">
        <v>0</v>
      </c>
      <c r="AF48" t="s">
        <v>6</v>
      </c>
      <c r="AG48">
        <v>1.2E-2</v>
      </c>
      <c r="AH48">
        <v>2</v>
      </c>
      <c r="AI48">
        <v>74242780</v>
      </c>
      <c r="AJ48">
        <v>48</v>
      </c>
      <c r="AK48">
        <v>3</v>
      </c>
      <c r="AL48">
        <v>-0.68568000000000007</v>
      </c>
      <c r="AM48">
        <v>0</v>
      </c>
      <c r="AN48">
        <v>0</v>
      </c>
      <c r="AO48">
        <v>0</v>
      </c>
      <c r="AP48">
        <v>0</v>
      </c>
      <c r="AQ48">
        <v>0</v>
      </c>
      <c r="AR48">
        <v>1</v>
      </c>
    </row>
    <row r="49" spans="1:44" x14ac:dyDescent="0.2">
      <c r="A49">
        <f>ROW(Source!A49)</f>
        <v>49</v>
      </c>
      <c r="B49">
        <v>74242790</v>
      </c>
      <c r="C49">
        <v>74242774</v>
      </c>
      <c r="D49">
        <v>35898280</v>
      </c>
      <c r="E49">
        <v>1</v>
      </c>
      <c r="F49">
        <v>1</v>
      </c>
      <c r="G49">
        <v>1</v>
      </c>
      <c r="H49">
        <v>3</v>
      </c>
      <c r="I49" t="s">
        <v>84</v>
      </c>
      <c r="J49" t="s">
        <v>86</v>
      </c>
      <c r="K49" t="s">
        <v>85</v>
      </c>
      <c r="L49">
        <v>1348</v>
      </c>
      <c r="N49">
        <v>1009</v>
      </c>
      <c r="O49" t="s">
        <v>44</v>
      </c>
      <c r="P49" t="s">
        <v>44</v>
      </c>
      <c r="Q49">
        <v>1000</v>
      </c>
      <c r="X49">
        <v>4.0300000000000002E-2</v>
      </c>
      <c r="Y49">
        <v>4319.75</v>
      </c>
      <c r="Z49">
        <v>0</v>
      </c>
      <c r="AA49">
        <v>0</v>
      </c>
      <c r="AB49">
        <v>0</v>
      </c>
      <c r="AC49">
        <v>0</v>
      </c>
      <c r="AD49">
        <v>1</v>
      </c>
      <c r="AE49">
        <v>0</v>
      </c>
      <c r="AF49" t="s">
        <v>6</v>
      </c>
      <c r="AG49">
        <v>4.0300000000000002E-2</v>
      </c>
      <c r="AH49">
        <v>2</v>
      </c>
      <c r="AI49">
        <v>74242781</v>
      </c>
      <c r="AJ49">
        <v>49</v>
      </c>
      <c r="AK49">
        <v>3</v>
      </c>
      <c r="AL49">
        <v>-174.085925</v>
      </c>
      <c r="AM49">
        <v>0</v>
      </c>
      <c r="AN49">
        <v>0</v>
      </c>
      <c r="AO49">
        <v>0</v>
      </c>
      <c r="AP49">
        <v>0</v>
      </c>
      <c r="AQ49">
        <v>0</v>
      </c>
      <c r="AR49">
        <v>1</v>
      </c>
    </row>
    <row r="50" spans="1:44" x14ac:dyDescent="0.2">
      <c r="A50">
        <f>ROW(Source!A49)</f>
        <v>49</v>
      </c>
      <c r="B50">
        <v>74242791</v>
      </c>
      <c r="C50">
        <v>74242774</v>
      </c>
      <c r="D50">
        <v>10842105</v>
      </c>
      <c r="E50">
        <v>1</v>
      </c>
      <c r="F50">
        <v>1</v>
      </c>
      <c r="G50">
        <v>1</v>
      </c>
      <c r="H50">
        <v>3</v>
      </c>
      <c r="I50" t="s">
        <v>31</v>
      </c>
      <c r="J50" t="s">
        <v>276</v>
      </c>
      <c r="K50" t="s">
        <v>32</v>
      </c>
      <c r="L50">
        <v>1346</v>
      </c>
      <c r="N50">
        <v>1009</v>
      </c>
      <c r="O50" t="s">
        <v>33</v>
      </c>
      <c r="P50" t="s">
        <v>33</v>
      </c>
      <c r="Q50">
        <v>1</v>
      </c>
      <c r="X50">
        <v>0.1</v>
      </c>
      <c r="Y50">
        <v>3.19</v>
      </c>
      <c r="Z50">
        <v>0</v>
      </c>
      <c r="AA50">
        <v>0</v>
      </c>
      <c r="AB50">
        <v>0</v>
      </c>
      <c r="AC50">
        <v>0</v>
      </c>
      <c r="AD50">
        <v>1</v>
      </c>
      <c r="AE50">
        <v>0</v>
      </c>
      <c r="AF50" t="s">
        <v>6</v>
      </c>
      <c r="AG50">
        <v>0.1</v>
      </c>
      <c r="AH50">
        <v>2</v>
      </c>
      <c r="AI50">
        <v>74242782</v>
      </c>
      <c r="AJ50">
        <v>50</v>
      </c>
      <c r="AK50">
        <v>3</v>
      </c>
      <c r="AL50">
        <v>-0.31900000000000001</v>
      </c>
      <c r="AM50">
        <v>0</v>
      </c>
      <c r="AN50">
        <v>0</v>
      </c>
      <c r="AO50">
        <v>0</v>
      </c>
      <c r="AP50">
        <v>0</v>
      </c>
      <c r="AQ50">
        <v>0</v>
      </c>
      <c r="AR50">
        <v>1</v>
      </c>
    </row>
    <row r="51" spans="1:44" x14ac:dyDescent="0.2">
      <c r="A51">
        <f>ROW(Source!A49)</f>
        <v>49</v>
      </c>
      <c r="B51">
        <v>74242792</v>
      </c>
      <c r="C51">
        <v>74242774</v>
      </c>
      <c r="D51">
        <v>10825323</v>
      </c>
      <c r="E51">
        <v>1</v>
      </c>
      <c r="F51">
        <v>1</v>
      </c>
      <c r="G51">
        <v>1</v>
      </c>
      <c r="H51">
        <v>3</v>
      </c>
      <c r="I51" t="s">
        <v>73</v>
      </c>
      <c r="J51" t="s">
        <v>76</v>
      </c>
      <c r="K51" t="s">
        <v>74</v>
      </c>
      <c r="L51">
        <v>1339</v>
      </c>
      <c r="N51">
        <v>1007</v>
      </c>
      <c r="O51" t="s">
        <v>75</v>
      </c>
      <c r="P51" t="s">
        <v>75</v>
      </c>
      <c r="Q51">
        <v>1</v>
      </c>
      <c r="X51">
        <v>1.7100000000000001E-2</v>
      </c>
      <c r="Y51">
        <v>7.14</v>
      </c>
      <c r="Z51">
        <v>0</v>
      </c>
      <c r="AA51">
        <v>0</v>
      </c>
      <c r="AB51">
        <v>0</v>
      </c>
      <c r="AC51">
        <v>0</v>
      </c>
      <c r="AD51">
        <v>1</v>
      </c>
      <c r="AE51">
        <v>0</v>
      </c>
      <c r="AF51" t="s">
        <v>6</v>
      </c>
      <c r="AG51">
        <v>1.7100000000000001E-2</v>
      </c>
      <c r="AH51">
        <v>2</v>
      </c>
      <c r="AI51">
        <v>74242783</v>
      </c>
      <c r="AJ51">
        <v>51</v>
      </c>
      <c r="AK51">
        <v>3</v>
      </c>
      <c r="AL51">
        <v>-0.12209399999999999</v>
      </c>
      <c r="AM51">
        <v>0</v>
      </c>
      <c r="AN51">
        <v>0</v>
      </c>
      <c r="AO51">
        <v>0</v>
      </c>
      <c r="AP51">
        <v>0</v>
      </c>
      <c r="AQ51">
        <v>0</v>
      </c>
      <c r="AR51">
        <v>1</v>
      </c>
    </row>
    <row r="52" spans="1:44" x14ac:dyDescent="0.2">
      <c r="A52">
        <f>ROW(Source!A50)</f>
        <v>50</v>
      </c>
      <c r="B52">
        <v>74242784</v>
      </c>
      <c r="C52">
        <v>74242774</v>
      </c>
      <c r="D52">
        <v>5510968</v>
      </c>
      <c r="E52">
        <v>1</v>
      </c>
      <c r="F52">
        <v>1</v>
      </c>
      <c r="G52">
        <v>1</v>
      </c>
      <c r="H52">
        <v>1</v>
      </c>
      <c r="I52" t="s">
        <v>261</v>
      </c>
      <c r="J52" t="s">
        <v>6</v>
      </c>
      <c r="K52" t="s">
        <v>262</v>
      </c>
      <c r="L52">
        <v>1369</v>
      </c>
      <c r="N52">
        <v>1013</v>
      </c>
      <c r="O52" t="s">
        <v>249</v>
      </c>
      <c r="P52" t="s">
        <v>249</v>
      </c>
      <c r="Q52">
        <v>1</v>
      </c>
      <c r="X52">
        <v>14.68</v>
      </c>
      <c r="Y52">
        <v>0</v>
      </c>
      <c r="Z52">
        <v>0</v>
      </c>
      <c r="AA52">
        <v>0</v>
      </c>
      <c r="AB52">
        <v>9.7100000000000009</v>
      </c>
      <c r="AC52">
        <v>0</v>
      </c>
      <c r="AD52">
        <v>1</v>
      </c>
      <c r="AE52">
        <v>1</v>
      </c>
      <c r="AF52" t="s">
        <v>6</v>
      </c>
      <c r="AG52">
        <v>14.68</v>
      </c>
      <c r="AH52">
        <v>2</v>
      </c>
      <c r="AI52">
        <v>74242775</v>
      </c>
      <c r="AJ52">
        <v>52</v>
      </c>
      <c r="AK52">
        <v>0</v>
      </c>
      <c r="AL52">
        <v>0</v>
      </c>
      <c r="AM52">
        <v>0</v>
      </c>
      <c r="AN52">
        <v>0</v>
      </c>
      <c r="AO52">
        <v>0</v>
      </c>
      <c r="AP52">
        <v>0</v>
      </c>
      <c r="AQ52">
        <v>0</v>
      </c>
      <c r="AR52">
        <v>0</v>
      </c>
    </row>
    <row r="53" spans="1:44" x14ac:dyDescent="0.2">
      <c r="A53">
        <f>ROW(Source!A50)</f>
        <v>50</v>
      </c>
      <c r="B53">
        <v>74242785</v>
      </c>
      <c r="C53">
        <v>74242774</v>
      </c>
      <c r="D53">
        <v>121548</v>
      </c>
      <c r="E53">
        <v>1</v>
      </c>
      <c r="F53">
        <v>1</v>
      </c>
      <c r="G53">
        <v>1</v>
      </c>
      <c r="H53">
        <v>1</v>
      </c>
      <c r="I53" t="s">
        <v>40</v>
      </c>
      <c r="J53" t="s">
        <v>6</v>
      </c>
      <c r="K53" t="s">
        <v>250</v>
      </c>
      <c r="L53">
        <v>608254</v>
      </c>
      <c r="N53">
        <v>1013</v>
      </c>
      <c r="O53" t="s">
        <v>251</v>
      </c>
      <c r="P53" t="s">
        <v>251</v>
      </c>
      <c r="Q53">
        <v>1</v>
      </c>
      <c r="X53">
        <v>0.08</v>
      </c>
      <c r="Y53">
        <v>0</v>
      </c>
      <c r="Z53">
        <v>0</v>
      </c>
      <c r="AA53">
        <v>0</v>
      </c>
      <c r="AB53">
        <v>0</v>
      </c>
      <c r="AC53">
        <v>0</v>
      </c>
      <c r="AD53">
        <v>1</v>
      </c>
      <c r="AE53">
        <v>2</v>
      </c>
      <c r="AF53" t="s">
        <v>6</v>
      </c>
      <c r="AG53">
        <v>0.08</v>
      </c>
      <c r="AH53">
        <v>2</v>
      </c>
      <c r="AI53">
        <v>74242776</v>
      </c>
      <c r="AJ53">
        <v>53</v>
      </c>
      <c r="AK53">
        <v>0</v>
      </c>
      <c r="AL53">
        <v>0</v>
      </c>
      <c r="AM53">
        <v>0</v>
      </c>
      <c r="AN53">
        <v>0</v>
      </c>
      <c r="AO53">
        <v>0</v>
      </c>
      <c r="AP53">
        <v>0</v>
      </c>
      <c r="AQ53">
        <v>0</v>
      </c>
      <c r="AR53">
        <v>0</v>
      </c>
    </row>
    <row r="54" spans="1:44" x14ac:dyDescent="0.2">
      <c r="A54">
        <f>ROW(Source!A50)</f>
        <v>50</v>
      </c>
      <c r="B54">
        <v>74242786</v>
      </c>
      <c r="C54">
        <v>74242774</v>
      </c>
      <c r="D54">
        <v>10844859</v>
      </c>
      <c r="E54">
        <v>1</v>
      </c>
      <c r="F54">
        <v>1</v>
      </c>
      <c r="G54">
        <v>1</v>
      </c>
      <c r="H54">
        <v>2</v>
      </c>
      <c r="I54" t="s">
        <v>263</v>
      </c>
      <c r="J54" t="s">
        <v>264</v>
      </c>
      <c r="K54" t="s">
        <v>265</v>
      </c>
      <c r="L54">
        <v>1480</v>
      </c>
      <c r="N54">
        <v>1013</v>
      </c>
      <c r="O54" t="s">
        <v>266</v>
      </c>
      <c r="P54" t="s">
        <v>267</v>
      </c>
      <c r="Q54">
        <v>1</v>
      </c>
      <c r="X54">
        <v>0.02</v>
      </c>
      <c r="Y54">
        <v>0</v>
      </c>
      <c r="Z54">
        <v>55.14</v>
      </c>
      <c r="AA54">
        <v>13.02</v>
      </c>
      <c r="AB54">
        <v>0</v>
      </c>
      <c r="AC54">
        <v>0</v>
      </c>
      <c r="AD54">
        <v>1</v>
      </c>
      <c r="AE54">
        <v>0</v>
      </c>
      <c r="AF54" t="s">
        <v>6</v>
      </c>
      <c r="AG54">
        <v>0.02</v>
      </c>
      <c r="AH54">
        <v>2</v>
      </c>
      <c r="AI54">
        <v>74242777</v>
      </c>
      <c r="AJ54">
        <v>54</v>
      </c>
      <c r="AK54">
        <v>0</v>
      </c>
      <c r="AL54">
        <v>0</v>
      </c>
      <c r="AM54">
        <v>0</v>
      </c>
      <c r="AN54">
        <v>0</v>
      </c>
      <c r="AO54">
        <v>0</v>
      </c>
      <c r="AP54">
        <v>0</v>
      </c>
      <c r="AQ54">
        <v>0</v>
      </c>
      <c r="AR54">
        <v>0</v>
      </c>
    </row>
    <row r="55" spans="1:44" x14ac:dyDescent="0.2">
      <c r="A55">
        <f>ROW(Source!A50)</f>
        <v>50</v>
      </c>
      <c r="B55">
        <v>74242787</v>
      </c>
      <c r="C55">
        <v>74242774</v>
      </c>
      <c r="D55">
        <v>35898338</v>
      </c>
      <c r="E55">
        <v>1</v>
      </c>
      <c r="F55">
        <v>1</v>
      </c>
      <c r="G55">
        <v>1</v>
      </c>
      <c r="H55">
        <v>2</v>
      </c>
      <c r="I55" t="s">
        <v>268</v>
      </c>
      <c r="J55" t="s">
        <v>269</v>
      </c>
      <c r="K55" t="s">
        <v>270</v>
      </c>
      <c r="L55">
        <v>1480</v>
      </c>
      <c r="N55">
        <v>1013</v>
      </c>
      <c r="O55" t="s">
        <v>266</v>
      </c>
      <c r="P55" t="s">
        <v>267</v>
      </c>
      <c r="Q55">
        <v>1</v>
      </c>
      <c r="X55">
        <v>0.92</v>
      </c>
      <c r="Y55">
        <v>0</v>
      </c>
      <c r="Z55">
        <v>2.0699999999999998</v>
      </c>
      <c r="AA55">
        <v>0</v>
      </c>
      <c r="AB55">
        <v>0</v>
      </c>
      <c r="AC55">
        <v>0</v>
      </c>
      <c r="AD55">
        <v>1</v>
      </c>
      <c r="AE55">
        <v>0</v>
      </c>
      <c r="AF55" t="s">
        <v>6</v>
      </c>
      <c r="AG55">
        <v>0.92</v>
      </c>
      <c r="AH55">
        <v>2</v>
      </c>
      <c r="AI55">
        <v>74242778</v>
      </c>
      <c r="AJ55">
        <v>55</v>
      </c>
      <c r="AK55">
        <v>0</v>
      </c>
      <c r="AL55">
        <v>0</v>
      </c>
      <c r="AM55">
        <v>0</v>
      </c>
      <c r="AN55">
        <v>0</v>
      </c>
      <c r="AO55">
        <v>0</v>
      </c>
      <c r="AP55">
        <v>0</v>
      </c>
      <c r="AQ55">
        <v>0</v>
      </c>
      <c r="AR55">
        <v>0</v>
      </c>
    </row>
    <row r="56" spans="1:44" x14ac:dyDescent="0.2">
      <c r="A56">
        <f>ROW(Source!A50)</f>
        <v>50</v>
      </c>
      <c r="B56">
        <v>74242788</v>
      </c>
      <c r="C56">
        <v>74242774</v>
      </c>
      <c r="D56">
        <v>10843192</v>
      </c>
      <c r="E56">
        <v>1</v>
      </c>
      <c r="F56">
        <v>1</v>
      </c>
      <c r="G56">
        <v>1</v>
      </c>
      <c r="H56">
        <v>2</v>
      </c>
      <c r="I56" t="s">
        <v>256</v>
      </c>
      <c r="J56" t="s">
        <v>271</v>
      </c>
      <c r="K56" t="s">
        <v>272</v>
      </c>
      <c r="L56">
        <v>1480</v>
      </c>
      <c r="N56">
        <v>1013</v>
      </c>
      <c r="O56" t="s">
        <v>266</v>
      </c>
      <c r="P56" t="s">
        <v>267</v>
      </c>
      <c r="Q56">
        <v>1</v>
      </c>
      <c r="X56">
        <v>0.06</v>
      </c>
      <c r="Y56">
        <v>0</v>
      </c>
      <c r="Z56">
        <v>85.94</v>
      </c>
      <c r="AA56">
        <v>0</v>
      </c>
      <c r="AB56">
        <v>0</v>
      </c>
      <c r="AC56">
        <v>0</v>
      </c>
      <c r="AD56">
        <v>1</v>
      </c>
      <c r="AE56">
        <v>0</v>
      </c>
      <c r="AF56" t="s">
        <v>6</v>
      </c>
      <c r="AG56">
        <v>0.06</v>
      </c>
      <c r="AH56">
        <v>2</v>
      </c>
      <c r="AI56">
        <v>74242779</v>
      </c>
      <c r="AJ56">
        <v>56</v>
      </c>
      <c r="AK56">
        <v>0</v>
      </c>
      <c r="AL56">
        <v>0</v>
      </c>
      <c r="AM56">
        <v>0</v>
      </c>
      <c r="AN56">
        <v>0</v>
      </c>
      <c r="AO56">
        <v>0</v>
      </c>
      <c r="AP56">
        <v>0</v>
      </c>
      <c r="AQ56">
        <v>0</v>
      </c>
      <c r="AR56">
        <v>0</v>
      </c>
    </row>
    <row r="57" spans="1:44" x14ac:dyDescent="0.2">
      <c r="A57">
        <f>ROW(Source!A50)</f>
        <v>50</v>
      </c>
      <c r="B57">
        <v>74242789</v>
      </c>
      <c r="C57">
        <v>74242774</v>
      </c>
      <c r="D57">
        <v>10841946</v>
      </c>
      <c r="E57">
        <v>1</v>
      </c>
      <c r="F57">
        <v>1</v>
      </c>
      <c r="G57">
        <v>1</v>
      </c>
      <c r="H57">
        <v>3</v>
      </c>
      <c r="I57" t="s">
        <v>61</v>
      </c>
      <c r="J57" t="s">
        <v>64</v>
      </c>
      <c r="K57" t="s">
        <v>62</v>
      </c>
      <c r="L57">
        <v>1327</v>
      </c>
      <c r="N57">
        <v>1005</v>
      </c>
      <c r="O57" t="s">
        <v>63</v>
      </c>
      <c r="P57" t="s">
        <v>63</v>
      </c>
      <c r="Q57">
        <v>1</v>
      </c>
      <c r="X57">
        <v>1.2E-2</v>
      </c>
      <c r="Y57">
        <v>57.14</v>
      </c>
      <c r="Z57">
        <v>0</v>
      </c>
      <c r="AA57">
        <v>0</v>
      </c>
      <c r="AB57">
        <v>0</v>
      </c>
      <c r="AC57">
        <v>0</v>
      </c>
      <c r="AD57">
        <v>1</v>
      </c>
      <c r="AE57">
        <v>0</v>
      </c>
      <c r="AF57" t="s">
        <v>6</v>
      </c>
      <c r="AG57">
        <v>1.2E-2</v>
      </c>
      <c r="AH57">
        <v>2</v>
      </c>
      <c r="AI57">
        <v>74242780</v>
      </c>
      <c r="AJ57">
        <v>57</v>
      </c>
      <c r="AK57">
        <v>3</v>
      </c>
      <c r="AL57">
        <v>-0.68568000000000007</v>
      </c>
      <c r="AM57">
        <v>0</v>
      </c>
      <c r="AN57">
        <v>0</v>
      </c>
      <c r="AO57">
        <v>0</v>
      </c>
      <c r="AP57">
        <v>0</v>
      </c>
      <c r="AQ57">
        <v>0</v>
      </c>
      <c r="AR57">
        <v>1</v>
      </c>
    </row>
    <row r="58" spans="1:44" x14ac:dyDescent="0.2">
      <c r="A58">
        <f>ROW(Source!A50)</f>
        <v>50</v>
      </c>
      <c r="B58">
        <v>74242790</v>
      </c>
      <c r="C58">
        <v>74242774</v>
      </c>
      <c r="D58">
        <v>35898280</v>
      </c>
      <c r="E58">
        <v>1</v>
      </c>
      <c r="F58">
        <v>1</v>
      </c>
      <c r="G58">
        <v>1</v>
      </c>
      <c r="H58">
        <v>3</v>
      </c>
      <c r="I58" t="s">
        <v>84</v>
      </c>
      <c r="J58" t="s">
        <v>86</v>
      </c>
      <c r="K58" t="s">
        <v>85</v>
      </c>
      <c r="L58">
        <v>1348</v>
      </c>
      <c r="N58">
        <v>1009</v>
      </c>
      <c r="O58" t="s">
        <v>44</v>
      </c>
      <c r="P58" t="s">
        <v>44</v>
      </c>
      <c r="Q58">
        <v>1000</v>
      </c>
      <c r="X58">
        <v>4.0300000000000002E-2</v>
      </c>
      <c r="Y58">
        <v>4319.75</v>
      </c>
      <c r="Z58">
        <v>0</v>
      </c>
      <c r="AA58">
        <v>0</v>
      </c>
      <c r="AB58">
        <v>0</v>
      </c>
      <c r="AC58">
        <v>0</v>
      </c>
      <c r="AD58">
        <v>1</v>
      </c>
      <c r="AE58">
        <v>0</v>
      </c>
      <c r="AF58" t="s">
        <v>6</v>
      </c>
      <c r="AG58">
        <v>4.0300000000000002E-2</v>
      </c>
      <c r="AH58">
        <v>2</v>
      </c>
      <c r="AI58">
        <v>74242781</v>
      </c>
      <c r="AJ58">
        <v>58</v>
      </c>
      <c r="AK58">
        <v>3</v>
      </c>
      <c r="AL58">
        <v>-174.085925</v>
      </c>
      <c r="AM58">
        <v>0</v>
      </c>
      <c r="AN58">
        <v>0</v>
      </c>
      <c r="AO58">
        <v>0</v>
      </c>
      <c r="AP58">
        <v>0</v>
      </c>
      <c r="AQ58">
        <v>0</v>
      </c>
      <c r="AR58">
        <v>1</v>
      </c>
    </row>
    <row r="59" spans="1:44" x14ac:dyDescent="0.2">
      <c r="A59">
        <f>ROW(Source!A50)</f>
        <v>50</v>
      </c>
      <c r="B59">
        <v>74242791</v>
      </c>
      <c r="C59">
        <v>74242774</v>
      </c>
      <c r="D59">
        <v>10842105</v>
      </c>
      <c r="E59">
        <v>1</v>
      </c>
      <c r="F59">
        <v>1</v>
      </c>
      <c r="G59">
        <v>1</v>
      </c>
      <c r="H59">
        <v>3</v>
      </c>
      <c r="I59" t="s">
        <v>31</v>
      </c>
      <c r="J59" t="s">
        <v>276</v>
      </c>
      <c r="K59" t="s">
        <v>32</v>
      </c>
      <c r="L59">
        <v>1346</v>
      </c>
      <c r="N59">
        <v>1009</v>
      </c>
      <c r="O59" t="s">
        <v>33</v>
      </c>
      <c r="P59" t="s">
        <v>33</v>
      </c>
      <c r="Q59">
        <v>1</v>
      </c>
      <c r="X59">
        <v>0.1</v>
      </c>
      <c r="Y59">
        <v>3.19</v>
      </c>
      <c r="Z59">
        <v>0</v>
      </c>
      <c r="AA59">
        <v>0</v>
      </c>
      <c r="AB59">
        <v>0</v>
      </c>
      <c r="AC59">
        <v>0</v>
      </c>
      <c r="AD59">
        <v>1</v>
      </c>
      <c r="AE59">
        <v>0</v>
      </c>
      <c r="AF59" t="s">
        <v>6</v>
      </c>
      <c r="AG59">
        <v>0.1</v>
      </c>
      <c r="AH59">
        <v>2</v>
      </c>
      <c r="AI59">
        <v>74242782</v>
      </c>
      <c r="AJ59">
        <v>59</v>
      </c>
      <c r="AK59">
        <v>3</v>
      </c>
      <c r="AL59">
        <v>-0.31900000000000001</v>
      </c>
      <c r="AM59">
        <v>0</v>
      </c>
      <c r="AN59">
        <v>0</v>
      </c>
      <c r="AO59">
        <v>0</v>
      </c>
      <c r="AP59">
        <v>0</v>
      </c>
      <c r="AQ59">
        <v>0</v>
      </c>
      <c r="AR59">
        <v>1</v>
      </c>
    </row>
    <row r="60" spans="1:44" x14ac:dyDescent="0.2">
      <c r="A60">
        <f>ROW(Source!A50)</f>
        <v>50</v>
      </c>
      <c r="B60">
        <v>74242792</v>
      </c>
      <c r="C60">
        <v>74242774</v>
      </c>
      <c r="D60">
        <v>10825323</v>
      </c>
      <c r="E60">
        <v>1</v>
      </c>
      <c r="F60">
        <v>1</v>
      </c>
      <c r="G60">
        <v>1</v>
      </c>
      <c r="H60">
        <v>3</v>
      </c>
      <c r="I60" t="s">
        <v>73</v>
      </c>
      <c r="J60" t="s">
        <v>76</v>
      </c>
      <c r="K60" t="s">
        <v>74</v>
      </c>
      <c r="L60">
        <v>1339</v>
      </c>
      <c r="N60">
        <v>1007</v>
      </c>
      <c r="O60" t="s">
        <v>75</v>
      </c>
      <c r="P60" t="s">
        <v>75</v>
      </c>
      <c r="Q60">
        <v>1</v>
      </c>
      <c r="X60">
        <v>1.7100000000000001E-2</v>
      </c>
      <c r="Y60">
        <v>7.14</v>
      </c>
      <c r="Z60">
        <v>0</v>
      </c>
      <c r="AA60">
        <v>0</v>
      </c>
      <c r="AB60">
        <v>0</v>
      </c>
      <c r="AC60">
        <v>0</v>
      </c>
      <c r="AD60">
        <v>1</v>
      </c>
      <c r="AE60">
        <v>0</v>
      </c>
      <c r="AF60" t="s">
        <v>6</v>
      </c>
      <c r="AG60">
        <v>1.7100000000000001E-2</v>
      </c>
      <c r="AH60">
        <v>2</v>
      </c>
      <c r="AI60">
        <v>74242783</v>
      </c>
      <c r="AJ60">
        <v>60</v>
      </c>
      <c r="AK60">
        <v>3</v>
      </c>
      <c r="AL60">
        <v>-0.12209399999999999</v>
      </c>
      <c r="AM60">
        <v>0</v>
      </c>
      <c r="AN60">
        <v>0</v>
      </c>
      <c r="AO60">
        <v>0</v>
      </c>
      <c r="AP60">
        <v>0</v>
      </c>
      <c r="AQ60">
        <v>0</v>
      </c>
      <c r="AR60">
        <v>1</v>
      </c>
    </row>
    <row r="61" spans="1:44" x14ac:dyDescent="0.2">
      <c r="A61">
        <f>ROW(Source!A59)</f>
        <v>59</v>
      </c>
      <c r="B61">
        <v>74242804</v>
      </c>
      <c r="C61">
        <v>74242797</v>
      </c>
      <c r="D61">
        <v>27834061</v>
      </c>
      <c r="E61">
        <v>1</v>
      </c>
      <c r="F61">
        <v>1</v>
      </c>
      <c r="G61">
        <v>1</v>
      </c>
      <c r="H61">
        <v>1</v>
      </c>
      <c r="I61" t="s">
        <v>259</v>
      </c>
      <c r="J61" t="s">
        <v>6</v>
      </c>
      <c r="K61" t="s">
        <v>260</v>
      </c>
      <c r="L61">
        <v>1369</v>
      </c>
      <c r="N61">
        <v>1013</v>
      </c>
      <c r="O61" t="s">
        <v>249</v>
      </c>
      <c r="P61" t="s">
        <v>249</v>
      </c>
      <c r="Q61">
        <v>1</v>
      </c>
      <c r="X61">
        <v>1.1000000000000001</v>
      </c>
      <c r="Y61">
        <v>0</v>
      </c>
      <c r="Z61">
        <v>0</v>
      </c>
      <c r="AA61">
        <v>0</v>
      </c>
      <c r="AB61">
        <v>9.6999999999999993</v>
      </c>
      <c r="AC61">
        <v>0</v>
      </c>
      <c r="AD61">
        <v>1</v>
      </c>
      <c r="AE61">
        <v>1</v>
      </c>
      <c r="AF61" t="s">
        <v>6</v>
      </c>
      <c r="AG61">
        <v>1.1000000000000001</v>
      </c>
      <c r="AH61">
        <v>2</v>
      </c>
      <c r="AI61">
        <v>74242798</v>
      </c>
      <c r="AJ61">
        <v>61</v>
      </c>
      <c r="AK61">
        <v>0</v>
      </c>
      <c r="AL61">
        <v>0</v>
      </c>
      <c r="AM61">
        <v>0</v>
      </c>
      <c r="AN61">
        <v>0</v>
      </c>
      <c r="AO61">
        <v>0</v>
      </c>
      <c r="AP61">
        <v>0</v>
      </c>
      <c r="AQ61">
        <v>0</v>
      </c>
      <c r="AR61">
        <v>0</v>
      </c>
    </row>
    <row r="62" spans="1:44" x14ac:dyDescent="0.2">
      <c r="A62">
        <f>ROW(Source!A59)</f>
        <v>59</v>
      </c>
      <c r="B62">
        <v>74242805</v>
      </c>
      <c r="C62">
        <v>74242797</v>
      </c>
      <c r="D62">
        <v>121548</v>
      </c>
      <c r="E62">
        <v>1</v>
      </c>
      <c r="F62">
        <v>1</v>
      </c>
      <c r="G62">
        <v>1</v>
      </c>
      <c r="H62">
        <v>1</v>
      </c>
      <c r="I62" t="s">
        <v>40</v>
      </c>
      <c r="J62" t="s">
        <v>6</v>
      </c>
      <c r="K62" t="s">
        <v>250</v>
      </c>
      <c r="L62">
        <v>608254</v>
      </c>
      <c r="N62">
        <v>1013</v>
      </c>
      <c r="O62" t="s">
        <v>251</v>
      </c>
      <c r="P62" t="s">
        <v>251</v>
      </c>
      <c r="Q62">
        <v>1</v>
      </c>
      <c r="X62">
        <v>0.01</v>
      </c>
      <c r="Y62">
        <v>0</v>
      </c>
      <c r="Z62">
        <v>0</v>
      </c>
      <c r="AA62">
        <v>0</v>
      </c>
      <c r="AB62">
        <v>0</v>
      </c>
      <c r="AC62">
        <v>0</v>
      </c>
      <c r="AD62">
        <v>1</v>
      </c>
      <c r="AE62">
        <v>2</v>
      </c>
      <c r="AF62" t="s">
        <v>6</v>
      </c>
      <c r="AG62">
        <v>0.01</v>
      </c>
      <c r="AH62">
        <v>2</v>
      </c>
      <c r="AI62">
        <v>74242799</v>
      </c>
      <c r="AJ62">
        <v>62</v>
      </c>
      <c r="AK62">
        <v>0</v>
      </c>
      <c r="AL62">
        <v>0</v>
      </c>
      <c r="AM62">
        <v>0</v>
      </c>
      <c r="AN62">
        <v>0</v>
      </c>
      <c r="AO62">
        <v>0</v>
      </c>
      <c r="AP62">
        <v>0</v>
      </c>
      <c r="AQ62">
        <v>0</v>
      </c>
      <c r="AR62">
        <v>0</v>
      </c>
    </row>
    <row r="63" spans="1:44" x14ac:dyDescent="0.2">
      <c r="A63">
        <f>ROW(Source!A59)</f>
        <v>59</v>
      </c>
      <c r="B63">
        <v>74242806</v>
      </c>
      <c r="C63">
        <v>74242797</v>
      </c>
      <c r="D63">
        <v>27439630</v>
      </c>
      <c r="E63">
        <v>1</v>
      </c>
      <c r="F63">
        <v>1</v>
      </c>
      <c r="G63">
        <v>1</v>
      </c>
      <c r="H63">
        <v>2</v>
      </c>
      <c r="I63" t="s">
        <v>252</v>
      </c>
      <c r="J63" t="s">
        <v>253</v>
      </c>
      <c r="K63" t="s">
        <v>254</v>
      </c>
      <c r="L63">
        <v>1368</v>
      </c>
      <c r="N63">
        <v>1011</v>
      </c>
      <c r="O63" t="s">
        <v>255</v>
      </c>
      <c r="P63" t="s">
        <v>255</v>
      </c>
      <c r="Q63">
        <v>1</v>
      </c>
      <c r="X63">
        <v>2E-3</v>
      </c>
      <c r="Y63">
        <v>0</v>
      </c>
      <c r="Z63">
        <v>31.27</v>
      </c>
      <c r="AA63">
        <v>13.61</v>
      </c>
      <c r="AB63">
        <v>0</v>
      </c>
      <c r="AC63">
        <v>0</v>
      </c>
      <c r="AD63">
        <v>1</v>
      </c>
      <c r="AE63">
        <v>0</v>
      </c>
      <c r="AF63" t="s">
        <v>6</v>
      </c>
      <c r="AG63">
        <v>2E-3</v>
      </c>
      <c r="AH63">
        <v>2</v>
      </c>
      <c r="AI63">
        <v>74242800</v>
      </c>
      <c r="AJ63">
        <v>63</v>
      </c>
      <c r="AK63">
        <v>0</v>
      </c>
      <c r="AL63">
        <v>0</v>
      </c>
      <c r="AM63">
        <v>0</v>
      </c>
      <c r="AN63">
        <v>0</v>
      </c>
      <c r="AO63">
        <v>0</v>
      </c>
      <c r="AP63">
        <v>0</v>
      </c>
      <c r="AQ63">
        <v>0</v>
      </c>
      <c r="AR63">
        <v>0</v>
      </c>
    </row>
    <row r="64" spans="1:44" x14ac:dyDescent="0.2">
      <c r="A64">
        <f>ROW(Source!A59)</f>
        <v>59</v>
      </c>
      <c r="B64">
        <v>74242807</v>
      </c>
      <c r="C64">
        <v>74242797</v>
      </c>
      <c r="D64">
        <v>27441327</v>
      </c>
      <c r="E64">
        <v>1</v>
      </c>
      <c r="F64">
        <v>1</v>
      </c>
      <c r="G64">
        <v>1</v>
      </c>
      <c r="H64">
        <v>2</v>
      </c>
      <c r="I64" t="s">
        <v>256</v>
      </c>
      <c r="J64" t="s">
        <v>257</v>
      </c>
      <c r="K64" t="s">
        <v>258</v>
      </c>
      <c r="L64">
        <v>1368</v>
      </c>
      <c r="N64">
        <v>1011</v>
      </c>
      <c r="O64" t="s">
        <v>255</v>
      </c>
      <c r="P64" t="s">
        <v>255</v>
      </c>
      <c r="Q64">
        <v>1</v>
      </c>
      <c r="X64">
        <v>0.01</v>
      </c>
      <c r="Y64">
        <v>0</v>
      </c>
      <c r="Z64">
        <v>93.37</v>
      </c>
      <c r="AA64">
        <v>11.69</v>
      </c>
      <c r="AB64">
        <v>0</v>
      </c>
      <c r="AC64">
        <v>0</v>
      </c>
      <c r="AD64">
        <v>1</v>
      </c>
      <c r="AE64">
        <v>0</v>
      </c>
      <c r="AF64" t="s">
        <v>6</v>
      </c>
      <c r="AG64">
        <v>0.01</v>
      </c>
      <c r="AH64">
        <v>2</v>
      </c>
      <c r="AI64">
        <v>74242801</v>
      </c>
      <c r="AJ64">
        <v>64</v>
      </c>
      <c r="AK64">
        <v>0</v>
      </c>
      <c r="AL64">
        <v>0</v>
      </c>
      <c r="AM64">
        <v>0</v>
      </c>
      <c r="AN64">
        <v>0</v>
      </c>
      <c r="AO64">
        <v>0</v>
      </c>
      <c r="AP64">
        <v>0</v>
      </c>
      <c r="AQ64">
        <v>0</v>
      </c>
      <c r="AR64">
        <v>0</v>
      </c>
    </row>
    <row r="65" spans="1:44" x14ac:dyDescent="0.2">
      <c r="A65">
        <f>ROW(Source!A59)</f>
        <v>59</v>
      </c>
      <c r="B65">
        <v>74242808</v>
      </c>
      <c r="C65">
        <v>74242797</v>
      </c>
      <c r="D65">
        <v>27371543</v>
      </c>
      <c r="E65">
        <v>1</v>
      </c>
      <c r="F65">
        <v>1</v>
      </c>
      <c r="G65">
        <v>1</v>
      </c>
      <c r="H65">
        <v>3</v>
      </c>
      <c r="I65" t="s">
        <v>31</v>
      </c>
      <c r="J65" t="s">
        <v>34</v>
      </c>
      <c r="K65" t="s">
        <v>32</v>
      </c>
      <c r="L65">
        <v>1346</v>
      </c>
      <c r="N65">
        <v>1009</v>
      </c>
      <c r="O65" t="s">
        <v>33</v>
      </c>
      <c r="P65" t="s">
        <v>33</v>
      </c>
      <c r="Q65">
        <v>1</v>
      </c>
      <c r="X65">
        <v>0.1</v>
      </c>
      <c r="Y65">
        <v>1.82</v>
      </c>
      <c r="Z65">
        <v>0</v>
      </c>
      <c r="AA65">
        <v>0</v>
      </c>
      <c r="AB65">
        <v>0</v>
      </c>
      <c r="AC65">
        <v>0</v>
      </c>
      <c r="AD65">
        <v>1</v>
      </c>
      <c r="AE65">
        <v>0</v>
      </c>
      <c r="AF65" t="s">
        <v>6</v>
      </c>
      <c r="AG65">
        <v>0.1</v>
      </c>
      <c r="AH65">
        <v>2</v>
      </c>
      <c r="AI65">
        <v>74242802</v>
      </c>
      <c r="AJ65">
        <v>65</v>
      </c>
      <c r="AK65">
        <v>3</v>
      </c>
      <c r="AL65">
        <v>-0.18200000000000002</v>
      </c>
      <c r="AM65">
        <v>0</v>
      </c>
      <c r="AN65">
        <v>0</v>
      </c>
      <c r="AO65">
        <v>0</v>
      </c>
      <c r="AP65">
        <v>0</v>
      </c>
      <c r="AQ65">
        <v>0</v>
      </c>
      <c r="AR65">
        <v>1</v>
      </c>
    </row>
    <row r="66" spans="1:44" x14ac:dyDescent="0.2">
      <c r="A66">
        <f>ROW(Source!A59)</f>
        <v>59</v>
      </c>
      <c r="B66">
        <v>74242809</v>
      </c>
      <c r="C66">
        <v>74242797</v>
      </c>
      <c r="D66">
        <v>27373221</v>
      </c>
      <c r="E66">
        <v>1</v>
      </c>
      <c r="F66">
        <v>1</v>
      </c>
      <c r="G66">
        <v>1</v>
      </c>
      <c r="H66">
        <v>3</v>
      </c>
      <c r="I66" t="s">
        <v>273</v>
      </c>
      <c r="J66" t="s">
        <v>274</v>
      </c>
      <c r="K66" t="s">
        <v>275</v>
      </c>
      <c r="L66">
        <v>1348</v>
      </c>
      <c r="N66">
        <v>1009</v>
      </c>
      <c r="O66" t="s">
        <v>44</v>
      </c>
      <c r="P66" t="s">
        <v>44</v>
      </c>
      <c r="Q66">
        <v>1000</v>
      </c>
      <c r="X66">
        <v>1.32E-2</v>
      </c>
      <c r="Y66">
        <v>0</v>
      </c>
      <c r="Z66">
        <v>0</v>
      </c>
      <c r="AA66">
        <v>0</v>
      </c>
      <c r="AB66">
        <v>0</v>
      </c>
      <c r="AC66">
        <v>0</v>
      </c>
      <c r="AD66">
        <v>0</v>
      </c>
      <c r="AE66">
        <v>0</v>
      </c>
      <c r="AF66" t="s">
        <v>6</v>
      </c>
      <c r="AG66">
        <v>1.32E-2</v>
      </c>
      <c r="AH66">
        <v>3</v>
      </c>
      <c r="AI66">
        <v>-1</v>
      </c>
      <c r="AJ66" t="s">
        <v>6</v>
      </c>
      <c r="AK66">
        <v>0</v>
      </c>
      <c r="AL66">
        <v>0</v>
      </c>
      <c r="AM66">
        <v>0</v>
      </c>
      <c r="AN66">
        <v>0</v>
      </c>
      <c r="AO66">
        <v>0</v>
      </c>
      <c r="AP66">
        <v>0</v>
      </c>
      <c r="AQ66">
        <v>0</v>
      </c>
      <c r="AR66">
        <v>0</v>
      </c>
    </row>
    <row r="67" spans="1:44" x14ac:dyDescent="0.2">
      <c r="A67">
        <f>ROW(Source!A60)</f>
        <v>60</v>
      </c>
      <c r="B67">
        <v>74242804</v>
      </c>
      <c r="C67">
        <v>74242797</v>
      </c>
      <c r="D67">
        <v>27834061</v>
      </c>
      <c r="E67">
        <v>1</v>
      </c>
      <c r="F67">
        <v>1</v>
      </c>
      <c r="G67">
        <v>1</v>
      </c>
      <c r="H67">
        <v>1</v>
      </c>
      <c r="I67" t="s">
        <v>259</v>
      </c>
      <c r="J67" t="s">
        <v>6</v>
      </c>
      <c r="K67" t="s">
        <v>260</v>
      </c>
      <c r="L67">
        <v>1369</v>
      </c>
      <c r="N67">
        <v>1013</v>
      </c>
      <c r="O67" t="s">
        <v>249</v>
      </c>
      <c r="P67" t="s">
        <v>249</v>
      </c>
      <c r="Q67">
        <v>1</v>
      </c>
      <c r="X67">
        <v>1.1000000000000001</v>
      </c>
      <c r="Y67">
        <v>0</v>
      </c>
      <c r="Z67">
        <v>0</v>
      </c>
      <c r="AA67">
        <v>0</v>
      </c>
      <c r="AB67">
        <v>9.6999999999999993</v>
      </c>
      <c r="AC67">
        <v>0</v>
      </c>
      <c r="AD67">
        <v>1</v>
      </c>
      <c r="AE67">
        <v>1</v>
      </c>
      <c r="AF67" t="s">
        <v>6</v>
      </c>
      <c r="AG67">
        <v>1.1000000000000001</v>
      </c>
      <c r="AH67">
        <v>2</v>
      </c>
      <c r="AI67">
        <v>74242798</v>
      </c>
      <c r="AJ67">
        <v>67</v>
      </c>
      <c r="AK67">
        <v>0</v>
      </c>
      <c r="AL67">
        <v>0</v>
      </c>
      <c r="AM67">
        <v>0</v>
      </c>
      <c r="AN67">
        <v>0</v>
      </c>
      <c r="AO67">
        <v>0</v>
      </c>
      <c r="AP67">
        <v>0</v>
      </c>
      <c r="AQ67">
        <v>0</v>
      </c>
      <c r="AR67">
        <v>0</v>
      </c>
    </row>
    <row r="68" spans="1:44" x14ac:dyDescent="0.2">
      <c r="A68">
        <f>ROW(Source!A60)</f>
        <v>60</v>
      </c>
      <c r="B68">
        <v>74242805</v>
      </c>
      <c r="C68">
        <v>74242797</v>
      </c>
      <c r="D68">
        <v>121548</v>
      </c>
      <c r="E68">
        <v>1</v>
      </c>
      <c r="F68">
        <v>1</v>
      </c>
      <c r="G68">
        <v>1</v>
      </c>
      <c r="H68">
        <v>1</v>
      </c>
      <c r="I68" t="s">
        <v>40</v>
      </c>
      <c r="J68" t="s">
        <v>6</v>
      </c>
      <c r="K68" t="s">
        <v>250</v>
      </c>
      <c r="L68">
        <v>608254</v>
      </c>
      <c r="N68">
        <v>1013</v>
      </c>
      <c r="O68" t="s">
        <v>251</v>
      </c>
      <c r="P68" t="s">
        <v>251</v>
      </c>
      <c r="Q68">
        <v>1</v>
      </c>
      <c r="X68">
        <v>0.01</v>
      </c>
      <c r="Y68">
        <v>0</v>
      </c>
      <c r="Z68">
        <v>0</v>
      </c>
      <c r="AA68">
        <v>0</v>
      </c>
      <c r="AB68">
        <v>0</v>
      </c>
      <c r="AC68">
        <v>0</v>
      </c>
      <c r="AD68">
        <v>1</v>
      </c>
      <c r="AE68">
        <v>2</v>
      </c>
      <c r="AF68" t="s">
        <v>6</v>
      </c>
      <c r="AG68">
        <v>0.01</v>
      </c>
      <c r="AH68">
        <v>2</v>
      </c>
      <c r="AI68">
        <v>74242799</v>
      </c>
      <c r="AJ68">
        <v>68</v>
      </c>
      <c r="AK68">
        <v>0</v>
      </c>
      <c r="AL68">
        <v>0</v>
      </c>
      <c r="AM68">
        <v>0</v>
      </c>
      <c r="AN68">
        <v>0</v>
      </c>
      <c r="AO68">
        <v>0</v>
      </c>
      <c r="AP68">
        <v>0</v>
      </c>
      <c r="AQ68">
        <v>0</v>
      </c>
      <c r="AR68">
        <v>0</v>
      </c>
    </row>
    <row r="69" spans="1:44" x14ac:dyDescent="0.2">
      <c r="A69">
        <f>ROW(Source!A60)</f>
        <v>60</v>
      </c>
      <c r="B69">
        <v>74242806</v>
      </c>
      <c r="C69">
        <v>74242797</v>
      </c>
      <c r="D69">
        <v>27439630</v>
      </c>
      <c r="E69">
        <v>1</v>
      </c>
      <c r="F69">
        <v>1</v>
      </c>
      <c r="G69">
        <v>1</v>
      </c>
      <c r="H69">
        <v>2</v>
      </c>
      <c r="I69" t="s">
        <v>252</v>
      </c>
      <c r="J69" t="s">
        <v>253</v>
      </c>
      <c r="K69" t="s">
        <v>254</v>
      </c>
      <c r="L69">
        <v>1368</v>
      </c>
      <c r="N69">
        <v>1011</v>
      </c>
      <c r="O69" t="s">
        <v>255</v>
      </c>
      <c r="P69" t="s">
        <v>255</v>
      </c>
      <c r="Q69">
        <v>1</v>
      </c>
      <c r="X69">
        <v>2E-3</v>
      </c>
      <c r="Y69">
        <v>0</v>
      </c>
      <c r="Z69">
        <v>31.27</v>
      </c>
      <c r="AA69">
        <v>13.61</v>
      </c>
      <c r="AB69">
        <v>0</v>
      </c>
      <c r="AC69">
        <v>0</v>
      </c>
      <c r="AD69">
        <v>1</v>
      </c>
      <c r="AE69">
        <v>0</v>
      </c>
      <c r="AF69" t="s">
        <v>6</v>
      </c>
      <c r="AG69">
        <v>2E-3</v>
      </c>
      <c r="AH69">
        <v>2</v>
      </c>
      <c r="AI69">
        <v>74242800</v>
      </c>
      <c r="AJ69">
        <v>69</v>
      </c>
      <c r="AK69">
        <v>0</v>
      </c>
      <c r="AL69">
        <v>0</v>
      </c>
      <c r="AM69">
        <v>0</v>
      </c>
      <c r="AN69">
        <v>0</v>
      </c>
      <c r="AO69">
        <v>0</v>
      </c>
      <c r="AP69">
        <v>0</v>
      </c>
      <c r="AQ69">
        <v>0</v>
      </c>
      <c r="AR69">
        <v>0</v>
      </c>
    </row>
    <row r="70" spans="1:44" x14ac:dyDescent="0.2">
      <c r="A70">
        <f>ROW(Source!A60)</f>
        <v>60</v>
      </c>
      <c r="B70">
        <v>74242807</v>
      </c>
      <c r="C70">
        <v>74242797</v>
      </c>
      <c r="D70">
        <v>27441327</v>
      </c>
      <c r="E70">
        <v>1</v>
      </c>
      <c r="F70">
        <v>1</v>
      </c>
      <c r="G70">
        <v>1</v>
      </c>
      <c r="H70">
        <v>2</v>
      </c>
      <c r="I70" t="s">
        <v>256</v>
      </c>
      <c r="J70" t="s">
        <v>257</v>
      </c>
      <c r="K70" t="s">
        <v>258</v>
      </c>
      <c r="L70">
        <v>1368</v>
      </c>
      <c r="N70">
        <v>1011</v>
      </c>
      <c r="O70" t="s">
        <v>255</v>
      </c>
      <c r="P70" t="s">
        <v>255</v>
      </c>
      <c r="Q70">
        <v>1</v>
      </c>
      <c r="X70">
        <v>0.01</v>
      </c>
      <c r="Y70">
        <v>0</v>
      </c>
      <c r="Z70">
        <v>93.37</v>
      </c>
      <c r="AA70">
        <v>11.69</v>
      </c>
      <c r="AB70">
        <v>0</v>
      </c>
      <c r="AC70">
        <v>0</v>
      </c>
      <c r="AD70">
        <v>1</v>
      </c>
      <c r="AE70">
        <v>0</v>
      </c>
      <c r="AF70" t="s">
        <v>6</v>
      </c>
      <c r="AG70">
        <v>0.01</v>
      </c>
      <c r="AH70">
        <v>2</v>
      </c>
      <c r="AI70">
        <v>74242801</v>
      </c>
      <c r="AJ70">
        <v>70</v>
      </c>
      <c r="AK70">
        <v>0</v>
      </c>
      <c r="AL70">
        <v>0</v>
      </c>
      <c r="AM70">
        <v>0</v>
      </c>
      <c r="AN70">
        <v>0</v>
      </c>
      <c r="AO70">
        <v>0</v>
      </c>
      <c r="AP70">
        <v>0</v>
      </c>
      <c r="AQ70">
        <v>0</v>
      </c>
      <c r="AR70">
        <v>0</v>
      </c>
    </row>
    <row r="71" spans="1:44" x14ac:dyDescent="0.2">
      <c r="A71">
        <f>ROW(Source!A60)</f>
        <v>60</v>
      </c>
      <c r="B71">
        <v>74242808</v>
      </c>
      <c r="C71">
        <v>74242797</v>
      </c>
      <c r="D71">
        <v>27371543</v>
      </c>
      <c r="E71">
        <v>1</v>
      </c>
      <c r="F71">
        <v>1</v>
      </c>
      <c r="G71">
        <v>1</v>
      </c>
      <c r="H71">
        <v>3</v>
      </c>
      <c r="I71" t="s">
        <v>31</v>
      </c>
      <c r="J71" t="s">
        <v>34</v>
      </c>
      <c r="K71" t="s">
        <v>32</v>
      </c>
      <c r="L71">
        <v>1346</v>
      </c>
      <c r="N71">
        <v>1009</v>
      </c>
      <c r="O71" t="s">
        <v>33</v>
      </c>
      <c r="P71" t="s">
        <v>33</v>
      </c>
      <c r="Q71">
        <v>1</v>
      </c>
      <c r="X71">
        <v>0.1</v>
      </c>
      <c r="Y71">
        <v>1.82</v>
      </c>
      <c r="Z71">
        <v>0</v>
      </c>
      <c r="AA71">
        <v>0</v>
      </c>
      <c r="AB71">
        <v>0</v>
      </c>
      <c r="AC71">
        <v>0</v>
      </c>
      <c r="AD71">
        <v>1</v>
      </c>
      <c r="AE71">
        <v>0</v>
      </c>
      <c r="AF71" t="s">
        <v>6</v>
      </c>
      <c r="AG71">
        <v>0.1</v>
      </c>
      <c r="AH71">
        <v>2</v>
      </c>
      <c r="AI71">
        <v>74242802</v>
      </c>
      <c r="AJ71">
        <v>71</v>
      </c>
      <c r="AK71">
        <v>3</v>
      </c>
      <c r="AL71">
        <v>-0.18200000000000002</v>
      </c>
      <c r="AM71">
        <v>0</v>
      </c>
      <c r="AN71">
        <v>0</v>
      </c>
      <c r="AO71">
        <v>0</v>
      </c>
      <c r="AP71">
        <v>0</v>
      </c>
      <c r="AQ71">
        <v>0</v>
      </c>
      <c r="AR71">
        <v>1</v>
      </c>
    </row>
    <row r="72" spans="1:44" x14ac:dyDescent="0.2">
      <c r="A72">
        <f>ROW(Source!A60)</f>
        <v>60</v>
      </c>
      <c r="B72">
        <v>74242809</v>
      </c>
      <c r="C72">
        <v>74242797</v>
      </c>
      <c r="D72">
        <v>27373221</v>
      </c>
      <c r="E72">
        <v>1</v>
      </c>
      <c r="F72">
        <v>1</v>
      </c>
      <c r="G72">
        <v>1</v>
      </c>
      <c r="H72">
        <v>3</v>
      </c>
      <c r="I72" t="s">
        <v>273</v>
      </c>
      <c r="J72" t="s">
        <v>274</v>
      </c>
      <c r="K72" t="s">
        <v>275</v>
      </c>
      <c r="L72">
        <v>1348</v>
      </c>
      <c r="N72">
        <v>1009</v>
      </c>
      <c r="O72" t="s">
        <v>44</v>
      </c>
      <c r="P72" t="s">
        <v>44</v>
      </c>
      <c r="Q72">
        <v>1000</v>
      </c>
      <c r="X72">
        <v>1.32E-2</v>
      </c>
      <c r="Y72">
        <v>0</v>
      </c>
      <c r="Z72">
        <v>0</v>
      </c>
      <c r="AA72">
        <v>0</v>
      </c>
      <c r="AB72">
        <v>0</v>
      </c>
      <c r="AC72">
        <v>0</v>
      </c>
      <c r="AD72">
        <v>0</v>
      </c>
      <c r="AE72">
        <v>0</v>
      </c>
      <c r="AF72" t="s">
        <v>6</v>
      </c>
      <c r="AG72">
        <v>1.32E-2</v>
      </c>
      <c r="AH72">
        <v>3</v>
      </c>
      <c r="AI72">
        <v>-1</v>
      </c>
      <c r="AJ72" t="s">
        <v>6</v>
      </c>
      <c r="AK72">
        <v>0</v>
      </c>
      <c r="AL72">
        <v>0</v>
      </c>
      <c r="AM72">
        <v>0</v>
      </c>
      <c r="AN72">
        <v>0</v>
      </c>
      <c r="AO72">
        <v>0</v>
      </c>
      <c r="AP72">
        <v>0</v>
      </c>
      <c r="AQ72">
        <v>0</v>
      </c>
      <c r="AR72">
        <v>0</v>
      </c>
    </row>
    <row r="73" spans="1:44" x14ac:dyDescent="0.2">
      <c r="A73">
        <f>ROW(Source!A65)</f>
        <v>65</v>
      </c>
      <c r="B73">
        <v>74242822</v>
      </c>
      <c r="C73">
        <v>74242812</v>
      </c>
      <c r="D73">
        <v>5510968</v>
      </c>
      <c r="E73">
        <v>1</v>
      </c>
      <c r="F73">
        <v>1</v>
      </c>
      <c r="G73">
        <v>1</v>
      </c>
      <c r="H73">
        <v>1</v>
      </c>
      <c r="I73" t="s">
        <v>261</v>
      </c>
      <c r="J73" t="s">
        <v>6</v>
      </c>
      <c r="K73" t="s">
        <v>262</v>
      </c>
      <c r="L73">
        <v>1369</v>
      </c>
      <c r="N73">
        <v>1013</v>
      </c>
      <c r="O73" t="s">
        <v>249</v>
      </c>
      <c r="P73" t="s">
        <v>249</v>
      </c>
      <c r="Q73">
        <v>1</v>
      </c>
      <c r="X73">
        <v>14.68</v>
      </c>
      <c r="Y73">
        <v>0</v>
      </c>
      <c r="Z73">
        <v>0</v>
      </c>
      <c r="AA73">
        <v>0</v>
      </c>
      <c r="AB73">
        <v>9.7100000000000009</v>
      </c>
      <c r="AC73">
        <v>0</v>
      </c>
      <c r="AD73">
        <v>1</v>
      </c>
      <c r="AE73">
        <v>1</v>
      </c>
      <c r="AF73" t="s">
        <v>6</v>
      </c>
      <c r="AG73">
        <v>14.68</v>
      </c>
      <c r="AH73">
        <v>2</v>
      </c>
      <c r="AI73">
        <v>74242813</v>
      </c>
      <c r="AJ73">
        <v>73</v>
      </c>
      <c r="AK73">
        <v>0</v>
      </c>
      <c r="AL73">
        <v>0</v>
      </c>
      <c r="AM73">
        <v>0</v>
      </c>
      <c r="AN73">
        <v>0</v>
      </c>
      <c r="AO73">
        <v>0</v>
      </c>
      <c r="AP73">
        <v>0</v>
      </c>
      <c r="AQ73">
        <v>0</v>
      </c>
      <c r="AR73">
        <v>0</v>
      </c>
    </row>
    <row r="74" spans="1:44" x14ac:dyDescent="0.2">
      <c r="A74">
        <f>ROW(Source!A65)</f>
        <v>65</v>
      </c>
      <c r="B74">
        <v>74242823</v>
      </c>
      <c r="C74">
        <v>74242812</v>
      </c>
      <c r="D74">
        <v>121548</v>
      </c>
      <c r="E74">
        <v>1</v>
      </c>
      <c r="F74">
        <v>1</v>
      </c>
      <c r="G74">
        <v>1</v>
      </c>
      <c r="H74">
        <v>1</v>
      </c>
      <c r="I74" t="s">
        <v>40</v>
      </c>
      <c r="J74" t="s">
        <v>6</v>
      </c>
      <c r="K74" t="s">
        <v>250</v>
      </c>
      <c r="L74">
        <v>608254</v>
      </c>
      <c r="N74">
        <v>1013</v>
      </c>
      <c r="O74" t="s">
        <v>251</v>
      </c>
      <c r="P74" t="s">
        <v>251</v>
      </c>
      <c r="Q74">
        <v>1</v>
      </c>
      <c r="X74">
        <v>0.08</v>
      </c>
      <c r="Y74">
        <v>0</v>
      </c>
      <c r="Z74">
        <v>0</v>
      </c>
      <c r="AA74">
        <v>0</v>
      </c>
      <c r="AB74">
        <v>0</v>
      </c>
      <c r="AC74">
        <v>0</v>
      </c>
      <c r="AD74">
        <v>1</v>
      </c>
      <c r="AE74">
        <v>2</v>
      </c>
      <c r="AF74" t="s">
        <v>6</v>
      </c>
      <c r="AG74">
        <v>0.08</v>
      </c>
      <c r="AH74">
        <v>2</v>
      </c>
      <c r="AI74">
        <v>74242814</v>
      </c>
      <c r="AJ74">
        <v>74</v>
      </c>
      <c r="AK74">
        <v>0</v>
      </c>
      <c r="AL74">
        <v>0</v>
      </c>
      <c r="AM74">
        <v>0</v>
      </c>
      <c r="AN74">
        <v>0</v>
      </c>
      <c r="AO74">
        <v>0</v>
      </c>
      <c r="AP74">
        <v>0</v>
      </c>
      <c r="AQ74">
        <v>0</v>
      </c>
      <c r="AR74">
        <v>0</v>
      </c>
    </row>
    <row r="75" spans="1:44" x14ac:dyDescent="0.2">
      <c r="A75">
        <f>ROW(Source!A65)</f>
        <v>65</v>
      </c>
      <c r="B75">
        <v>74242824</v>
      </c>
      <c r="C75">
        <v>74242812</v>
      </c>
      <c r="D75">
        <v>10844859</v>
      </c>
      <c r="E75">
        <v>1</v>
      </c>
      <c r="F75">
        <v>1</v>
      </c>
      <c r="G75">
        <v>1</v>
      </c>
      <c r="H75">
        <v>2</v>
      </c>
      <c r="I75" t="s">
        <v>263</v>
      </c>
      <c r="J75" t="s">
        <v>264</v>
      </c>
      <c r="K75" t="s">
        <v>265</v>
      </c>
      <c r="L75">
        <v>1480</v>
      </c>
      <c r="N75">
        <v>1013</v>
      </c>
      <c r="O75" t="s">
        <v>266</v>
      </c>
      <c r="P75" t="s">
        <v>267</v>
      </c>
      <c r="Q75">
        <v>1</v>
      </c>
      <c r="X75">
        <v>0.02</v>
      </c>
      <c r="Y75">
        <v>0</v>
      </c>
      <c r="Z75">
        <v>55.14</v>
      </c>
      <c r="AA75">
        <v>13.02</v>
      </c>
      <c r="AB75">
        <v>0</v>
      </c>
      <c r="AC75">
        <v>0</v>
      </c>
      <c r="AD75">
        <v>1</v>
      </c>
      <c r="AE75">
        <v>0</v>
      </c>
      <c r="AF75" t="s">
        <v>6</v>
      </c>
      <c r="AG75">
        <v>0.02</v>
      </c>
      <c r="AH75">
        <v>2</v>
      </c>
      <c r="AI75">
        <v>74242815</v>
      </c>
      <c r="AJ75">
        <v>75</v>
      </c>
      <c r="AK75">
        <v>0</v>
      </c>
      <c r="AL75">
        <v>0</v>
      </c>
      <c r="AM75">
        <v>0</v>
      </c>
      <c r="AN75">
        <v>0</v>
      </c>
      <c r="AO75">
        <v>0</v>
      </c>
      <c r="AP75">
        <v>0</v>
      </c>
      <c r="AQ75">
        <v>0</v>
      </c>
      <c r="AR75">
        <v>0</v>
      </c>
    </row>
    <row r="76" spans="1:44" x14ac:dyDescent="0.2">
      <c r="A76">
        <f>ROW(Source!A65)</f>
        <v>65</v>
      </c>
      <c r="B76">
        <v>74242825</v>
      </c>
      <c r="C76">
        <v>74242812</v>
      </c>
      <c r="D76">
        <v>35898338</v>
      </c>
      <c r="E76">
        <v>1</v>
      </c>
      <c r="F76">
        <v>1</v>
      </c>
      <c r="G76">
        <v>1</v>
      </c>
      <c r="H76">
        <v>2</v>
      </c>
      <c r="I76" t="s">
        <v>268</v>
      </c>
      <c r="J76" t="s">
        <v>269</v>
      </c>
      <c r="K76" t="s">
        <v>270</v>
      </c>
      <c r="L76">
        <v>1480</v>
      </c>
      <c r="N76">
        <v>1013</v>
      </c>
      <c r="O76" t="s">
        <v>266</v>
      </c>
      <c r="P76" t="s">
        <v>267</v>
      </c>
      <c r="Q76">
        <v>1</v>
      </c>
      <c r="X76">
        <v>0.92</v>
      </c>
      <c r="Y76">
        <v>0</v>
      </c>
      <c r="Z76">
        <v>2.0699999999999998</v>
      </c>
      <c r="AA76">
        <v>0</v>
      </c>
      <c r="AB76">
        <v>0</v>
      </c>
      <c r="AC76">
        <v>0</v>
      </c>
      <c r="AD76">
        <v>1</v>
      </c>
      <c r="AE76">
        <v>0</v>
      </c>
      <c r="AF76" t="s">
        <v>6</v>
      </c>
      <c r="AG76">
        <v>0.92</v>
      </c>
      <c r="AH76">
        <v>2</v>
      </c>
      <c r="AI76">
        <v>74242816</v>
      </c>
      <c r="AJ76">
        <v>76</v>
      </c>
      <c r="AK76">
        <v>0</v>
      </c>
      <c r="AL76">
        <v>0</v>
      </c>
      <c r="AM76">
        <v>0</v>
      </c>
      <c r="AN76">
        <v>0</v>
      </c>
      <c r="AO76">
        <v>0</v>
      </c>
      <c r="AP76">
        <v>0</v>
      </c>
      <c r="AQ76">
        <v>0</v>
      </c>
      <c r="AR76">
        <v>0</v>
      </c>
    </row>
    <row r="77" spans="1:44" x14ac:dyDescent="0.2">
      <c r="A77">
        <f>ROW(Source!A65)</f>
        <v>65</v>
      </c>
      <c r="B77">
        <v>74242826</v>
      </c>
      <c r="C77">
        <v>74242812</v>
      </c>
      <c r="D77">
        <v>10843192</v>
      </c>
      <c r="E77">
        <v>1</v>
      </c>
      <c r="F77">
        <v>1</v>
      </c>
      <c r="G77">
        <v>1</v>
      </c>
      <c r="H77">
        <v>2</v>
      </c>
      <c r="I77" t="s">
        <v>256</v>
      </c>
      <c r="J77" t="s">
        <v>271</v>
      </c>
      <c r="K77" t="s">
        <v>272</v>
      </c>
      <c r="L77">
        <v>1480</v>
      </c>
      <c r="N77">
        <v>1013</v>
      </c>
      <c r="O77" t="s">
        <v>266</v>
      </c>
      <c r="P77" t="s">
        <v>267</v>
      </c>
      <c r="Q77">
        <v>1</v>
      </c>
      <c r="X77">
        <v>0.06</v>
      </c>
      <c r="Y77">
        <v>0</v>
      </c>
      <c r="Z77">
        <v>85.94</v>
      </c>
      <c r="AA77">
        <v>0</v>
      </c>
      <c r="AB77">
        <v>0</v>
      </c>
      <c r="AC77">
        <v>0</v>
      </c>
      <c r="AD77">
        <v>1</v>
      </c>
      <c r="AE77">
        <v>0</v>
      </c>
      <c r="AF77" t="s">
        <v>6</v>
      </c>
      <c r="AG77">
        <v>0.06</v>
      </c>
      <c r="AH77">
        <v>2</v>
      </c>
      <c r="AI77">
        <v>74242817</v>
      </c>
      <c r="AJ77">
        <v>77</v>
      </c>
      <c r="AK77">
        <v>0</v>
      </c>
      <c r="AL77">
        <v>0</v>
      </c>
      <c r="AM77">
        <v>0</v>
      </c>
      <c r="AN77">
        <v>0</v>
      </c>
      <c r="AO77">
        <v>0</v>
      </c>
      <c r="AP77">
        <v>0</v>
      </c>
      <c r="AQ77">
        <v>0</v>
      </c>
      <c r="AR77">
        <v>0</v>
      </c>
    </row>
    <row r="78" spans="1:44" x14ac:dyDescent="0.2">
      <c r="A78">
        <f>ROW(Source!A65)</f>
        <v>65</v>
      </c>
      <c r="B78">
        <v>74242827</v>
      </c>
      <c r="C78">
        <v>74242812</v>
      </c>
      <c r="D78">
        <v>10841946</v>
      </c>
      <c r="E78">
        <v>1</v>
      </c>
      <c r="F78">
        <v>1</v>
      </c>
      <c r="G78">
        <v>1</v>
      </c>
      <c r="H78">
        <v>3</v>
      </c>
      <c r="I78" t="s">
        <v>61</v>
      </c>
      <c r="J78" t="s">
        <v>64</v>
      </c>
      <c r="K78" t="s">
        <v>62</v>
      </c>
      <c r="L78">
        <v>1327</v>
      </c>
      <c r="N78">
        <v>1005</v>
      </c>
      <c r="O78" t="s">
        <v>63</v>
      </c>
      <c r="P78" t="s">
        <v>63</v>
      </c>
      <c r="Q78">
        <v>1</v>
      </c>
      <c r="X78">
        <v>1.2E-2</v>
      </c>
      <c r="Y78">
        <v>57.14</v>
      </c>
      <c r="Z78">
        <v>0</v>
      </c>
      <c r="AA78">
        <v>0</v>
      </c>
      <c r="AB78">
        <v>0</v>
      </c>
      <c r="AC78">
        <v>0</v>
      </c>
      <c r="AD78">
        <v>1</v>
      </c>
      <c r="AE78">
        <v>0</v>
      </c>
      <c r="AF78" t="s">
        <v>6</v>
      </c>
      <c r="AG78">
        <v>1.2E-2</v>
      </c>
      <c r="AH78">
        <v>2</v>
      </c>
      <c r="AI78">
        <v>74242818</v>
      </c>
      <c r="AJ78">
        <v>78</v>
      </c>
      <c r="AK78">
        <v>3</v>
      </c>
      <c r="AL78">
        <v>-0.68568000000000007</v>
      </c>
      <c r="AM78">
        <v>0</v>
      </c>
      <c r="AN78">
        <v>0</v>
      </c>
      <c r="AO78">
        <v>0</v>
      </c>
      <c r="AP78">
        <v>0</v>
      </c>
      <c r="AQ78">
        <v>0</v>
      </c>
      <c r="AR78">
        <v>1</v>
      </c>
    </row>
    <row r="79" spans="1:44" x14ac:dyDescent="0.2">
      <c r="A79">
        <f>ROW(Source!A65)</f>
        <v>65</v>
      </c>
      <c r="B79">
        <v>74242828</v>
      </c>
      <c r="C79">
        <v>74242812</v>
      </c>
      <c r="D79">
        <v>35898280</v>
      </c>
      <c r="E79">
        <v>1</v>
      </c>
      <c r="F79">
        <v>1</v>
      </c>
      <c r="G79">
        <v>1</v>
      </c>
      <c r="H79">
        <v>3</v>
      </c>
      <c r="I79" t="s">
        <v>84</v>
      </c>
      <c r="J79" t="s">
        <v>86</v>
      </c>
      <c r="K79" t="s">
        <v>85</v>
      </c>
      <c r="L79">
        <v>1348</v>
      </c>
      <c r="N79">
        <v>1009</v>
      </c>
      <c r="O79" t="s">
        <v>44</v>
      </c>
      <c r="P79" t="s">
        <v>44</v>
      </c>
      <c r="Q79">
        <v>1000</v>
      </c>
      <c r="X79">
        <v>4.0300000000000002E-2</v>
      </c>
      <c r="Y79">
        <v>4319.75</v>
      </c>
      <c r="Z79">
        <v>0</v>
      </c>
      <c r="AA79">
        <v>0</v>
      </c>
      <c r="AB79">
        <v>0</v>
      </c>
      <c r="AC79">
        <v>0</v>
      </c>
      <c r="AD79">
        <v>1</v>
      </c>
      <c r="AE79">
        <v>0</v>
      </c>
      <c r="AF79" t="s">
        <v>6</v>
      </c>
      <c r="AG79">
        <v>4.0300000000000002E-2</v>
      </c>
      <c r="AH79">
        <v>2</v>
      </c>
      <c r="AI79">
        <v>74242819</v>
      </c>
      <c r="AJ79">
        <v>79</v>
      </c>
      <c r="AK79">
        <v>3</v>
      </c>
      <c r="AL79">
        <v>-174.085925</v>
      </c>
      <c r="AM79">
        <v>0</v>
      </c>
      <c r="AN79">
        <v>0</v>
      </c>
      <c r="AO79">
        <v>0</v>
      </c>
      <c r="AP79">
        <v>0</v>
      </c>
      <c r="AQ79">
        <v>0</v>
      </c>
      <c r="AR79">
        <v>1</v>
      </c>
    </row>
    <row r="80" spans="1:44" x14ac:dyDescent="0.2">
      <c r="A80">
        <f>ROW(Source!A65)</f>
        <v>65</v>
      </c>
      <c r="B80">
        <v>74242829</v>
      </c>
      <c r="C80">
        <v>74242812</v>
      </c>
      <c r="D80">
        <v>10842105</v>
      </c>
      <c r="E80">
        <v>1</v>
      </c>
      <c r="F80">
        <v>1</v>
      </c>
      <c r="G80">
        <v>1</v>
      </c>
      <c r="H80">
        <v>3</v>
      </c>
      <c r="I80" t="s">
        <v>31</v>
      </c>
      <c r="J80" t="s">
        <v>276</v>
      </c>
      <c r="K80" t="s">
        <v>32</v>
      </c>
      <c r="L80">
        <v>1346</v>
      </c>
      <c r="N80">
        <v>1009</v>
      </c>
      <c r="O80" t="s">
        <v>33</v>
      </c>
      <c r="P80" t="s">
        <v>33</v>
      </c>
      <c r="Q80">
        <v>1</v>
      </c>
      <c r="X80">
        <v>0.1</v>
      </c>
      <c r="Y80">
        <v>3.19</v>
      </c>
      <c r="Z80">
        <v>0</v>
      </c>
      <c r="AA80">
        <v>0</v>
      </c>
      <c r="AB80">
        <v>0</v>
      </c>
      <c r="AC80">
        <v>0</v>
      </c>
      <c r="AD80">
        <v>1</v>
      </c>
      <c r="AE80">
        <v>0</v>
      </c>
      <c r="AF80" t="s">
        <v>6</v>
      </c>
      <c r="AG80">
        <v>0.1</v>
      </c>
      <c r="AH80">
        <v>2</v>
      </c>
      <c r="AI80">
        <v>74242820</v>
      </c>
      <c r="AJ80">
        <v>80</v>
      </c>
      <c r="AK80">
        <v>3</v>
      </c>
      <c r="AL80">
        <v>-0.31900000000000001</v>
      </c>
      <c r="AM80">
        <v>0</v>
      </c>
      <c r="AN80">
        <v>0</v>
      </c>
      <c r="AO80">
        <v>0</v>
      </c>
      <c r="AP80">
        <v>0</v>
      </c>
      <c r="AQ80">
        <v>0</v>
      </c>
      <c r="AR80">
        <v>1</v>
      </c>
    </row>
    <row r="81" spans="1:44" x14ac:dyDescent="0.2">
      <c r="A81">
        <f>ROW(Source!A65)</f>
        <v>65</v>
      </c>
      <c r="B81">
        <v>74242830</v>
      </c>
      <c r="C81">
        <v>74242812</v>
      </c>
      <c r="D81">
        <v>10825323</v>
      </c>
      <c r="E81">
        <v>1</v>
      </c>
      <c r="F81">
        <v>1</v>
      </c>
      <c r="G81">
        <v>1</v>
      </c>
      <c r="H81">
        <v>3</v>
      </c>
      <c r="I81" t="s">
        <v>73</v>
      </c>
      <c r="J81" t="s">
        <v>76</v>
      </c>
      <c r="K81" t="s">
        <v>74</v>
      </c>
      <c r="L81">
        <v>1339</v>
      </c>
      <c r="N81">
        <v>1007</v>
      </c>
      <c r="O81" t="s">
        <v>75</v>
      </c>
      <c r="P81" t="s">
        <v>75</v>
      </c>
      <c r="Q81">
        <v>1</v>
      </c>
      <c r="X81">
        <v>1.7100000000000001E-2</v>
      </c>
      <c r="Y81">
        <v>7.14</v>
      </c>
      <c r="Z81">
        <v>0</v>
      </c>
      <c r="AA81">
        <v>0</v>
      </c>
      <c r="AB81">
        <v>0</v>
      </c>
      <c r="AC81">
        <v>0</v>
      </c>
      <c r="AD81">
        <v>1</v>
      </c>
      <c r="AE81">
        <v>0</v>
      </c>
      <c r="AF81" t="s">
        <v>6</v>
      </c>
      <c r="AG81">
        <v>1.7100000000000001E-2</v>
      </c>
      <c r="AH81">
        <v>2</v>
      </c>
      <c r="AI81">
        <v>74242821</v>
      </c>
      <c r="AJ81">
        <v>81</v>
      </c>
      <c r="AK81">
        <v>3</v>
      </c>
      <c r="AL81">
        <v>-0.12209399999999999</v>
      </c>
      <c r="AM81">
        <v>0</v>
      </c>
      <c r="AN81">
        <v>0</v>
      </c>
      <c r="AO81">
        <v>0</v>
      </c>
      <c r="AP81">
        <v>0</v>
      </c>
      <c r="AQ81">
        <v>0</v>
      </c>
      <c r="AR81">
        <v>1</v>
      </c>
    </row>
    <row r="82" spans="1:44" x14ac:dyDescent="0.2">
      <c r="A82">
        <f>ROW(Source!A66)</f>
        <v>66</v>
      </c>
      <c r="B82">
        <v>74242822</v>
      </c>
      <c r="C82">
        <v>74242812</v>
      </c>
      <c r="D82">
        <v>5510968</v>
      </c>
      <c r="E82">
        <v>1</v>
      </c>
      <c r="F82">
        <v>1</v>
      </c>
      <c r="G82">
        <v>1</v>
      </c>
      <c r="H82">
        <v>1</v>
      </c>
      <c r="I82" t="s">
        <v>261</v>
      </c>
      <c r="J82" t="s">
        <v>6</v>
      </c>
      <c r="K82" t="s">
        <v>262</v>
      </c>
      <c r="L82">
        <v>1369</v>
      </c>
      <c r="N82">
        <v>1013</v>
      </c>
      <c r="O82" t="s">
        <v>249</v>
      </c>
      <c r="P82" t="s">
        <v>249</v>
      </c>
      <c r="Q82">
        <v>1</v>
      </c>
      <c r="X82">
        <v>14.68</v>
      </c>
      <c r="Y82">
        <v>0</v>
      </c>
      <c r="Z82">
        <v>0</v>
      </c>
      <c r="AA82">
        <v>0</v>
      </c>
      <c r="AB82">
        <v>9.7100000000000009</v>
      </c>
      <c r="AC82">
        <v>0</v>
      </c>
      <c r="AD82">
        <v>1</v>
      </c>
      <c r="AE82">
        <v>1</v>
      </c>
      <c r="AF82" t="s">
        <v>6</v>
      </c>
      <c r="AG82">
        <v>14.68</v>
      </c>
      <c r="AH82">
        <v>2</v>
      </c>
      <c r="AI82">
        <v>74242813</v>
      </c>
      <c r="AJ82">
        <v>82</v>
      </c>
      <c r="AK82">
        <v>0</v>
      </c>
      <c r="AL82">
        <v>0</v>
      </c>
      <c r="AM82">
        <v>0</v>
      </c>
      <c r="AN82">
        <v>0</v>
      </c>
      <c r="AO82">
        <v>0</v>
      </c>
      <c r="AP82">
        <v>0</v>
      </c>
      <c r="AQ82">
        <v>0</v>
      </c>
      <c r="AR82">
        <v>0</v>
      </c>
    </row>
    <row r="83" spans="1:44" x14ac:dyDescent="0.2">
      <c r="A83">
        <f>ROW(Source!A66)</f>
        <v>66</v>
      </c>
      <c r="B83">
        <v>74242823</v>
      </c>
      <c r="C83">
        <v>74242812</v>
      </c>
      <c r="D83">
        <v>121548</v>
      </c>
      <c r="E83">
        <v>1</v>
      </c>
      <c r="F83">
        <v>1</v>
      </c>
      <c r="G83">
        <v>1</v>
      </c>
      <c r="H83">
        <v>1</v>
      </c>
      <c r="I83" t="s">
        <v>40</v>
      </c>
      <c r="J83" t="s">
        <v>6</v>
      </c>
      <c r="K83" t="s">
        <v>250</v>
      </c>
      <c r="L83">
        <v>608254</v>
      </c>
      <c r="N83">
        <v>1013</v>
      </c>
      <c r="O83" t="s">
        <v>251</v>
      </c>
      <c r="P83" t="s">
        <v>251</v>
      </c>
      <c r="Q83">
        <v>1</v>
      </c>
      <c r="X83">
        <v>0.08</v>
      </c>
      <c r="Y83">
        <v>0</v>
      </c>
      <c r="Z83">
        <v>0</v>
      </c>
      <c r="AA83">
        <v>0</v>
      </c>
      <c r="AB83">
        <v>0</v>
      </c>
      <c r="AC83">
        <v>0</v>
      </c>
      <c r="AD83">
        <v>1</v>
      </c>
      <c r="AE83">
        <v>2</v>
      </c>
      <c r="AF83" t="s">
        <v>6</v>
      </c>
      <c r="AG83">
        <v>0.08</v>
      </c>
      <c r="AH83">
        <v>2</v>
      </c>
      <c r="AI83">
        <v>74242814</v>
      </c>
      <c r="AJ83">
        <v>83</v>
      </c>
      <c r="AK83">
        <v>0</v>
      </c>
      <c r="AL83">
        <v>0</v>
      </c>
      <c r="AM83">
        <v>0</v>
      </c>
      <c r="AN83">
        <v>0</v>
      </c>
      <c r="AO83">
        <v>0</v>
      </c>
      <c r="AP83">
        <v>0</v>
      </c>
      <c r="AQ83">
        <v>0</v>
      </c>
      <c r="AR83">
        <v>0</v>
      </c>
    </row>
    <row r="84" spans="1:44" x14ac:dyDescent="0.2">
      <c r="A84">
        <f>ROW(Source!A66)</f>
        <v>66</v>
      </c>
      <c r="B84">
        <v>74242824</v>
      </c>
      <c r="C84">
        <v>74242812</v>
      </c>
      <c r="D84">
        <v>10844859</v>
      </c>
      <c r="E84">
        <v>1</v>
      </c>
      <c r="F84">
        <v>1</v>
      </c>
      <c r="G84">
        <v>1</v>
      </c>
      <c r="H84">
        <v>2</v>
      </c>
      <c r="I84" t="s">
        <v>263</v>
      </c>
      <c r="J84" t="s">
        <v>264</v>
      </c>
      <c r="K84" t="s">
        <v>265</v>
      </c>
      <c r="L84">
        <v>1480</v>
      </c>
      <c r="N84">
        <v>1013</v>
      </c>
      <c r="O84" t="s">
        <v>266</v>
      </c>
      <c r="P84" t="s">
        <v>267</v>
      </c>
      <c r="Q84">
        <v>1</v>
      </c>
      <c r="X84">
        <v>0.02</v>
      </c>
      <c r="Y84">
        <v>0</v>
      </c>
      <c r="Z84">
        <v>55.14</v>
      </c>
      <c r="AA84">
        <v>13.02</v>
      </c>
      <c r="AB84">
        <v>0</v>
      </c>
      <c r="AC84">
        <v>0</v>
      </c>
      <c r="AD84">
        <v>1</v>
      </c>
      <c r="AE84">
        <v>0</v>
      </c>
      <c r="AF84" t="s">
        <v>6</v>
      </c>
      <c r="AG84">
        <v>0.02</v>
      </c>
      <c r="AH84">
        <v>2</v>
      </c>
      <c r="AI84">
        <v>74242815</v>
      </c>
      <c r="AJ84">
        <v>84</v>
      </c>
      <c r="AK84">
        <v>0</v>
      </c>
      <c r="AL84">
        <v>0</v>
      </c>
      <c r="AM84">
        <v>0</v>
      </c>
      <c r="AN84">
        <v>0</v>
      </c>
      <c r="AO84">
        <v>0</v>
      </c>
      <c r="AP84">
        <v>0</v>
      </c>
      <c r="AQ84">
        <v>0</v>
      </c>
      <c r="AR84">
        <v>0</v>
      </c>
    </row>
    <row r="85" spans="1:44" x14ac:dyDescent="0.2">
      <c r="A85">
        <f>ROW(Source!A66)</f>
        <v>66</v>
      </c>
      <c r="B85">
        <v>74242825</v>
      </c>
      <c r="C85">
        <v>74242812</v>
      </c>
      <c r="D85">
        <v>35898338</v>
      </c>
      <c r="E85">
        <v>1</v>
      </c>
      <c r="F85">
        <v>1</v>
      </c>
      <c r="G85">
        <v>1</v>
      </c>
      <c r="H85">
        <v>2</v>
      </c>
      <c r="I85" t="s">
        <v>268</v>
      </c>
      <c r="J85" t="s">
        <v>269</v>
      </c>
      <c r="K85" t="s">
        <v>270</v>
      </c>
      <c r="L85">
        <v>1480</v>
      </c>
      <c r="N85">
        <v>1013</v>
      </c>
      <c r="O85" t="s">
        <v>266</v>
      </c>
      <c r="P85" t="s">
        <v>267</v>
      </c>
      <c r="Q85">
        <v>1</v>
      </c>
      <c r="X85">
        <v>0.92</v>
      </c>
      <c r="Y85">
        <v>0</v>
      </c>
      <c r="Z85">
        <v>2.0699999999999998</v>
      </c>
      <c r="AA85">
        <v>0</v>
      </c>
      <c r="AB85">
        <v>0</v>
      </c>
      <c r="AC85">
        <v>0</v>
      </c>
      <c r="AD85">
        <v>1</v>
      </c>
      <c r="AE85">
        <v>0</v>
      </c>
      <c r="AF85" t="s">
        <v>6</v>
      </c>
      <c r="AG85">
        <v>0.92</v>
      </c>
      <c r="AH85">
        <v>2</v>
      </c>
      <c r="AI85">
        <v>74242816</v>
      </c>
      <c r="AJ85">
        <v>85</v>
      </c>
      <c r="AK85">
        <v>0</v>
      </c>
      <c r="AL85">
        <v>0</v>
      </c>
      <c r="AM85">
        <v>0</v>
      </c>
      <c r="AN85">
        <v>0</v>
      </c>
      <c r="AO85">
        <v>0</v>
      </c>
      <c r="AP85">
        <v>0</v>
      </c>
      <c r="AQ85">
        <v>0</v>
      </c>
      <c r="AR85">
        <v>0</v>
      </c>
    </row>
    <row r="86" spans="1:44" x14ac:dyDescent="0.2">
      <c r="A86">
        <f>ROW(Source!A66)</f>
        <v>66</v>
      </c>
      <c r="B86">
        <v>74242826</v>
      </c>
      <c r="C86">
        <v>74242812</v>
      </c>
      <c r="D86">
        <v>10843192</v>
      </c>
      <c r="E86">
        <v>1</v>
      </c>
      <c r="F86">
        <v>1</v>
      </c>
      <c r="G86">
        <v>1</v>
      </c>
      <c r="H86">
        <v>2</v>
      </c>
      <c r="I86" t="s">
        <v>256</v>
      </c>
      <c r="J86" t="s">
        <v>271</v>
      </c>
      <c r="K86" t="s">
        <v>272</v>
      </c>
      <c r="L86">
        <v>1480</v>
      </c>
      <c r="N86">
        <v>1013</v>
      </c>
      <c r="O86" t="s">
        <v>266</v>
      </c>
      <c r="P86" t="s">
        <v>267</v>
      </c>
      <c r="Q86">
        <v>1</v>
      </c>
      <c r="X86">
        <v>0.06</v>
      </c>
      <c r="Y86">
        <v>0</v>
      </c>
      <c r="Z86">
        <v>85.94</v>
      </c>
      <c r="AA86">
        <v>0</v>
      </c>
      <c r="AB86">
        <v>0</v>
      </c>
      <c r="AC86">
        <v>0</v>
      </c>
      <c r="AD86">
        <v>1</v>
      </c>
      <c r="AE86">
        <v>0</v>
      </c>
      <c r="AF86" t="s">
        <v>6</v>
      </c>
      <c r="AG86">
        <v>0.06</v>
      </c>
      <c r="AH86">
        <v>2</v>
      </c>
      <c r="AI86">
        <v>74242817</v>
      </c>
      <c r="AJ86">
        <v>86</v>
      </c>
      <c r="AK86">
        <v>0</v>
      </c>
      <c r="AL86">
        <v>0</v>
      </c>
      <c r="AM86">
        <v>0</v>
      </c>
      <c r="AN86">
        <v>0</v>
      </c>
      <c r="AO86">
        <v>0</v>
      </c>
      <c r="AP86">
        <v>0</v>
      </c>
      <c r="AQ86">
        <v>0</v>
      </c>
      <c r="AR86">
        <v>0</v>
      </c>
    </row>
    <row r="87" spans="1:44" x14ac:dyDescent="0.2">
      <c r="A87">
        <f>ROW(Source!A66)</f>
        <v>66</v>
      </c>
      <c r="B87">
        <v>74242827</v>
      </c>
      <c r="C87">
        <v>74242812</v>
      </c>
      <c r="D87">
        <v>10841946</v>
      </c>
      <c r="E87">
        <v>1</v>
      </c>
      <c r="F87">
        <v>1</v>
      </c>
      <c r="G87">
        <v>1</v>
      </c>
      <c r="H87">
        <v>3</v>
      </c>
      <c r="I87" t="s">
        <v>61</v>
      </c>
      <c r="J87" t="s">
        <v>64</v>
      </c>
      <c r="K87" t="s">
        <v>62</v>
      </c>
      <c r="L87">
        <v>1327</v>
      </c>
      <c r="N87">
        <v>1005</v>
      </c>
      <c r="O87" t="s">
        <v>63</v>
      </c>
      <c r="P87" t="s">
        <v>63</v>
      </c>
      <c r="Q87">
        <v>1</v>
      </c>
      <c r="X87">
        <v>1.2E-2</v>
      </c>
      <c r="Y87">
        <v>57.14</v>
      </c>
      <c r="Z87">
        <v>0</v>
      </c>
      <c r="AA87">
        <v>0</v>
      </c>
      <c r="AB87">
        <v>0</v>
      </c>
      <c r="AC87">
        <v>0</v>
      </c>
      <c r="AD87">
        <v>1</v>
      </c>
      <c r="AE87">
        <v>0</v>
      </c>
      <c r="AF87" t="s">
        <v>6</v>
      </c>
      <c r="AG87">
        <v>1.2E-2</v>
      </c>
      <c r="AH87">
        <v>2</v>
      </c>
      <c r="AI87">
        <v>74242818</v>
      </c>
      <c r="AJ87">
        <v>87</v>
      </c>
      <c r="AK87">
        <v>3</v>
      </c>
      <c r="AL87">
        <v>-0.68568000000000007</v>
      </c>
      <c r="AM87">
        <v>0</v>
      </c>
      <c r="AN87">
        <v>0</v>
      </c>
      <c r="AO87">
        <v>0</v>
      </c>
      <c r="AP87">
        <v>0</v>
      </c>
      <c r="AQ87">
        <v>0</v>
      </c>
      <c r="AR87">
        <v>1</v>
      </c>
    </row>
    <row r="88" spans="1:44" x14ac:dyDescent="0.2">
      <c r="A88">
        <f>ROW(Source!A66)</f>
        <v>66</v>
      </c>
      <c r="B88">
        <v>74242828</v>
      </c>
      <c r="C88">
        <v>74242812</v>
      </c>
      <c r="D88">
        <v>35898280</v>
      </c>
      <c r="E88">
        <v>1</v>
      </c>
      <c r="F88">
        <v>1</v>
      </c>
      <c r="G88">
        <v>1</v>
      </c>
      <c r="H88">
        <v>3</v>
      </c>
      <c r="I88" t="s">
        <v>84</v>
      </c>
      <c r="J88" t="s">
        <v>86</v>
      </c>
      <c r="K88" t="s">
        <v>85</v>
      </c>
      <c r="L88">
        <v>1348</v>
      </c>
      <c r="N88">
        <v>1009</v>
      </c>
      <c r="O88" t="s">
        <v>44</v>
      </c>
      <c r="P88" t="s">
        <v>44</v>
      </c>
      <c r="Q88">
        <v>1000</v>
      </c>
      <c r="X88">
        <v>4.0300000000000002E-2</v>
      </c>
      <c r="Y88">
        <v>4319.75</v>
      </c>
      <c r="Z88">
        <v>0</v>
      </c>
      <c r="AA88">
        <v>0</v>
      </c>
      <c r="AB88">
        <v>0</v>
      </c>
      <c r="AC88">
        <v>0</v>
      </c>
      <c r="AD88">
        <v>1</v>
      </c>
      <c r="AE88">
        <v>0</v>
      </c>
      <c r="AF88" t="s">
        <v>6</v>
      </c>
      <c r="AG88">
        <v>4.0300000000000002E-2</v>
      </c>
      <c r="AH88">
        <v>2</v>
      </c>
      <c r="AI88">
        <v>74242819</v>
      </c>
      <c r="AJ88">
        <v>88</v>
      </c>
      <c r="AK88">
        <v>3</v>
      </c>
      <c r="AL88">
        <v>-174.085925</v>
      </c>
      <c r="AM88">
        <v>0</v>
      </c>
      <c r="AN88">
        <v>0</v>
      </c>
      <c r="AO88">
        <v>0</v>
      </c>
      <c r="AP88">
        <v>0</v>
      </c>
      <c r="AQ88">
        <v>0</v>
      </c>
      <c r="AR88">
        <v>1</v>
      </c>
    </row>
    <row r="89" spans="1:44" x14ac:dyDescent="0.2">
      <c r="A89">
        <f>ROW(Source!A66)</f>
        <v>66</v>
      </c>
      <c r="B89">
        <v>74242829</v>
      </c>
      <c r="C89">
        <v>74242812</v>
      </c>
      <c r="D89">
        <v>10842105</v>
      </c>
      <c r="E89">
        <v>1</v>
      </c>
      <c r="F89">
        <v>1</v>
      </c>
      <c r="G89">
        <v>1</v>
      </c>
      <c r="H89">
        <v>3</v>
      </c>
      <c r="I89" t="s">
        <v>31</v>
      </c>
      <c r="J89" t="s">
        <v>276</v>
      </c>
      <c r="K89" t="s">
        <v>32</v>
      </c>
      <c r="L89">
        <v>1346</v>
      </c>
      <c r="N89">
        <v>1009</v>
      </c>
      <c r="O89" t="s">
        <v>33</v>
      </c>
      <c r="P89" t="s">
        <v>33</v>
      </c>
      <c r="Q89">
        <v>1</v>
      </c>
      <c r="X89">
        <v>0.1</v>
      </c>
      <c r="Y89">
        <v>3.19</v>
      </c>
      <c r="Z89">
        <v>0</v>
      </c>
      <c r="AA89">
        <v>0</v>
      </c>
      <c r="AB89">
        <v>0</v>
      </c>
      <c r="AC89">
        <v>0</v>
      </c>
      <c r="AD89">
        <v>1</v>
      </c>
      <c r="AE89">
        <v>0</v>
      </c>
      <c r="AF89" t="s">
        <v>6</v>
      </c>
      <c r="AG89">
        <v>0.1</v>
      </c>
      <c r="AH89">
        <v>2</v>
      </c>
      <c r="AI89">
        <v>74242820</v>
      </c>
      <c r="AJ89">
        <v>89</v>
      </c>
      <c r="AK89">
        <v>3</v>
      </c>
      <c r="AL89">
        <v>-0.31900000000000001</v>
      </c>
      <c r="AM89">
        <v>0</v>
      </c>
      <c r="AN89">
        <v>0</v>
      </c>
      <c r="AO89">
        <v>0</v>
      </c>
      <c r="AP89">
        <v>0</v>
      </c>
      <c r="AQ89">
        <v>0</v>
      </c>
      <c r="AR89">
        <v>1</v>
      </c>
    </row>
    <row r="90" spans="1:44" x14ac:dyDescent="0.2">
      <c r="A90">
        <f>ROW(Source!A66)</f>
        <v>66</v>
      </c>
      <c r="B90">
        <v>74242830</v>
      </c>
      <c r="C90">
        <v>74242812</v>
      </c>
      <c r="D90">
        <v>10825323</v>
      </c>
      <c r="E90">
        <v>1</v>
      </c>
      <c r="F90">
        <v>1</v>
      </c>
      <c r="G90">
        <v>1</v>
      </c>
      <c r="H90">
        <v>3</v>
      </c>
      <c r="I90" t="s">
        <v>73</v>
      </c>
      <c r="J90" t="s">
        <v>76</v>
      </c>
      <c r="K90" t="s">
        <v>74</v>
      </c>
      <c r="L90">
        <v>1339</v>
      </c>
      <c r="N90">
        <v>1007</v>
      </c>
      <c r="O90" t="s">
        <v>75</v>
      </c>
      <c r="P90" t="s">
        <v>75</v>
      </c>
      <c r="Q90">
        <v>1</v>
      </c>
      <c r="X90">
        <v>1.7100000000000001E-2</v>
      </c>
      <c r="Y90">
        <v>7.14</v>
      </c>
      <c r="Z90">
        <v>0</v>
      </c>
      <c r="AA90">
        <v>0</v>
      </c>
      <c r="AB90">
        <v>0</v>
      </c>
      <c r="AC90">
        <v>0</v>
      </c>
      <c r="AD90">
        <v>1</v>
      </c>
      <c r="AE90">
        <v>0</v>
      </c>
      <c r="AF90" t="s">
        <v>6</v>
      </c>
      <c r="AG90">
        <v>1.7100000000000001E-2</v>
      </c>
      <c r="AH90">
        <v>2</v>
      </c>
      <c r="AI90">
        <v>74242821</v>
      </c>
      <c r="AJ90">
        <v>90</v>
      </c>
      <c r="AK90">
        <v>3</v>
      </c>
      <c r="AL90">
        <v>-0.12209399999999999</v>
      </c>
      <c r="AM90">
        <v>0</v>
      </c>
      <c r="AN90">
        <v>0</v>
      </c>
      <c r="AO90">
        <v>0</v>
      </c>
      <c r="AP90">
        <v>0</v>
      </c>
      <c r="AQ90">
        <v>0</v>
      </c>
      <c r="AR90">
        <v>1</v>
      </c>
    </row>
    <row r="91" spans="1:44" x14ac:dyDescent="0.2">
      <c r="A91">
        <f>ROW(Source!A75)</f>
        <v>75</v>
      </c>
      <c r="B91">
        <v>74242842</v>
      </c>
      <c r="C91">
        <v>74242835</v>
      </c>
      <c r="D91">
        <v>27499237</v>
      </c>
      <c r="E91">
        <v>1</v>
      </c>
      <c r="F91">
        <v>1</v>
      </c>
      <c r="G91">
        <v>1</v>
      </c>
      <c r="H91">
        <v>1</v>
      </c>
      <c r="I91" t="s">
        <v>247</v>
      </c>
      <c r="J91" t="s">
        <v>6</v>
      </c>
      <c r="K91" t="s">
        <v>248</v>
      </c>
      <c r="L91">
        <v>1369</v>
      </c>
      <c r="N91">
        <v>1013</v>
      </c>
      <c r="O91" t="s">
        <v>249</v>
      </c>
      <c r="P91" t="s">
        <v>249</v>
      </c>
      <c r="Q91">
        <v>1</v>
      </c>
      <c r="X91">
        <v>16.32</v>
      </c>
      <c r="Y91">
        <v>0</v>
      </c>
      <c r="Z91">
        <v>0</v>
      </c>
      <c r="AA91">
        <v>0</v>
      </c>
      <c r="AB91">
        <v>9.6999999999999993</v>
      </c>
      <c r="AC91">
        <v>0</v>
      </c>
      <c r="AD91">
        <v>1</v>
      </c>
      <c r="AE91">
        <v>1</v>
      </c>
      <c r="AF91" t="s">
        <v>6</v>
      </c>
      <c r="AG91">
        <v>16.32</v>
      </c>
      <c r="AH91">
        <v>2</v>
      </c>
      <c r="AI91">
        <v>74242836</v>
      </c>
      <c r="AJ91">
        <v>91</v>
      </c>
      <c r="AK91">
        <v>0</v>
      </c>
      <c r="AL91">
        <v>0</v>
      </c>
      <c r="AM91">
        <v>0</v>
      </c>
      <c r="AN91">
        <v>0</v>
      </c>
      <c r="AO91">
        <v>0</v>
      </c>
      <c r="AP91">
        <v>0</v>
      </c>
      <c r="AQ91">
        <v>0</v>
      </c>
      <c r="AR91">
        <v>0</v>
      </c>
    </row>
    <row r="92" spans="1:44" x14ac:dyDescent="0.2">
      <c r="A92">
        <f>ROW(Source!A75)</f>
        <v>75</v>
      </c>
      <c r="B92">
        <v>74242843</v>
      </c>
      <c r="C92">
        <v>74242835</v>
      </c>
      <c r="D92">
        <v>121548</v>
      </c>
      <c r="E92">
        <v>1</v>
      </c>
      <c r="F92">
        <v>1</v>
      </c>
      <c r="G92">
        <v>1</v>
      </c>
      <c r="H92">
        <v>1</v>
      </c>
      <c r="I92" t="s">
        <v>40</v>
      </c>
      <c r="J92" t="s">
        <v>6</v>
      </c>
      <c r="K92" t="s">
        <v>250</v>
      </c>
      <c r="L92">
        <v>608254</v>
      </c>
      <c r="N92">
        <v>1013</v>
      </c>
      <c r="O92" t="s">
        <v>251</v>
      </c>
      <c r="P92" t="s">
        <v>251</v>
      </c>
      <c r="Q92">
        <v>1</v>
      </c>
      <c r="X92">
        <v>0.01</v>
      </c>
      <c r="Y92">
        <v>0</v>
      </c>
      <c r="Z92">
        <v>0</v>
      </c>
      <c r="AA92">
        <v>0</v>
      </c>
      <c r="AB92">
        <v>0</v>
      </c>
      <c r="AC92">
        <v>0</v>
      </c>
      <c r="AD92">
        <v>1</v>
      </c>
      <c r="AE92">
        <v>2</v>
      </c>
      <c r="AF92" t="s">
        <v>6</v>
      </c>
      <c r="AG92">
        <v>0.01</v>
      </c>
      <c r="AH92">
        <v>2</v>
      </c>
      <c r="AI92">
        <v>74242837</v>
      </c>
      <c r="AJ92">
        <v>92</v>
      </c>
      <c r="AK92">
        <v>0</v>
      </c>
      <c r="AL92">
        <v>0</v>
      </c>
      <c r="AM92">
        <v>0</v>
      </c>
      <c r="AN92">
        <v>0</v>
      </c>
      <c r="AO92">
        <v>0</v>
      </c>
      <c r="AP92">
        <v>0</v>
      </c>
      <c r="AQ92">
        <v>0</v>
      </c>
      <c r="AR92">
        <v>0</v>
      </c>
    </row>
    <row r="93" spans="1:44" x14ac:dyDescent="0.2">
      <c r="A93">
        <f>ROW(Source!A75)</f>
        <v>75</v>
      </c>
      <c r="B93">
        <v>74242844</v>
      </c>
      <c r="C93">
        <v>74242835</v>
      </c>
      <c r="D93">
        <v>27439630</v>
      </c>
      <c r="E93">
        <v>1</v>
      </c>
      <c r="F93">
        <v>1</v>
      </c>
      <c r="G93">
        <v>1</v>
      </c>
      <c r="H93">
        <v>2</v>
      </c>
      <c r="I93" t="s">
        <v>252</v>
      </c>
      <c r="J93" t="s">
        <v>253</v>
      </c>
      <c r="K93" t="s">
        <v>254</v>
      </c>
      <c r="L93">
        <v>1368</v>
      </c>
      <c r="N93">
        <v>1011</v>
      </c>
      <c r="O93" t="s">
        <v>255</v>
      </c>
      <c r="P93" t="s">
        <v>255</v>
      </c>
      <c r="Q93">
        <v>1</v>
      </c>
      <c r="X93">
        <v>0.01</v>
      </c>
      <c r="Y93">
        <v>0</v>
      </c>
      <c r="Z93">
        <v>31.27</v>
      </c>
      <c r="AA93">
        <v>13.61</v>
      </c>
      <c r="AB93">
        <v>0</v>
      </c>
      <c r="AC93">
        <v>0</v>
      </c>
      <c r="AD93">
        <v>1</v>
      </c>
      <c r="AE93">
        <v>0</v>
      </c>
      <c r="AF93" t="s">
        <v>6</v>
      </c>
      <c r="AG93">
        <v>0.01</v>
      </c>
      <c r="AH93">
        <v>2</v>
      </c>
      <c r="AI93">
        <v>74242838</v>
      </c>
      <c r="AJ93">
        <v>93</v>
      </c>
      <c r="AK93">
        <v>0</v>
      </c>
      <c r="AL93">
        <v>0</v>
      </c>
      <c r="AM93">
        <v>0</v>
      </c>
      <c r="AN93">
        <v>0</v>
      </c>
      <c r="AO93">
        <v>0</v>
      </c>
      <c r="AP93">
        <v>0</v>
      </c>
      <c r="AQ93">
        <v>0</v>
      </c>
      <c r="AR93">
        <v>0</v>
      </c>
    </row>
    <row r="94" spans="1:44" x14ac:dyDescent="0.2">
      <c r="A94">
        <f>ROW(Source!A75)</f>
        <v>75</v>
      </c>
      <c r="B94">
        <v>74242845</v>
      </c>
      <c r="C94">
        <v>74242835</v>
      </c>
      <c r="D94">
        <v>27441327</v>
      </c>
      <c r="E94">
        <v>1</v>
      </c>
      <c r="F94">
        <v>1</v>
      </c>
      <c r="G94">
        <v>1</v>
      </c>
      <c r="H94">
        <v>2</v>
      </c>
      <c r="I94" t="s">
        <v>256</v>
      </c>
      <c r="J94" t="s">
        <v>257</v>
      </c>
      <c r="K94" t="s">
        <v>258</v>
      </c>
      <c r="L94">
        <v>1368</v>
      </c>
      <c r="N94">
        <v>1011</v>
      </c>
      <c r="O94" t="s">
        <v>255</v>
      </c>
      <c r="P94" t="s">
        <v>255</v>
      </c>
      <c r="Q94">
        <v>1</v>
      </c>
      <c r="X94">
        <v>0.02</v>
      </c>
      <c r="Y94">
        <v>0</v>
      </c>
      <c r="Z94">
        <v>93.37</v>
      </c>
      <c r="AA94">
        <v>11.69</v>
      </c>
      <c r="AB94">
        <v>0</v>
      </c>
      <c r="AC94">
        <v>0</v>
      </c>
      <c r="AD94">
        <v>1</v>
      </c>
      <c r="AE94">
        <v>0</v>
      </c>
      <c r="AF94" t="s">
        <v>6</v>
      </c>
      <c r="AG94">
        <v>0.02</v>
      </c>
      <c r="AH94">
        <v>2</v>
      </c>
      <c r="AI94">
        <v>74242839</v>
      </c>
      <c r="AJ94">
        <v>94</v>
      </c>
      <c r="AK94">
        <v>0</v>
      </c>
      <c r="AL94">
        <v>0</v>
      </c>
      <c r="AM94">
        <v>0</v>
      </c>
      <c r="AN94">
        <v>0</v>
      </c>
      <c r="AO94">
        <v>0</v>
      </c>
      <c r="AP94">
        <v>0</v>
      </c>
      <c r="AQ94">
        <v>0</v>
      </c>
      <c r="AR94">
        <v>0</v>
      </c>
    </row>
    <row r="95" spans="1:44" x14ac:dyDescent="0.2">
      <c r="A95">
        <f>ROW(Source!A75)</f>
        <v>75</v>
      </c>
      <c r="B95">
        <v>74242846</v>
      </c>
      <c r="C95">
        <v>74242835</v>
      </c>
      <c r="D95">
        <v>27371543</v>
      </c>
      <c r="E95">
        <v>1</v>
      </c>
      <c r="F95">
        <v>1</v>
      </c>
      <c r="G95">
        <v>1</v>
      </c>
      <c r="H95">
        <v>3</v>
      </c>
      <c r="I95" t="s">
        <v>31</v>
      </c>
      <c r="J95" t="s">
        <v>34</v>
      </c>
      <c r="K95" t="s">
        <v>32</v>
      </c>
      <c r="L95">
        <v>1346</v>
      </c>
      <c r="N95">
        <v>1009</v>
      </c>
      <c r="O95" t="s">
        <v>33</v>
      </c>
      <c r="P95" t="s">
        <v>33</v>
      </c>
      <c r="Q95">
        <v>1</v>
      </c>
      <c r="X95">
        <v>0.2</v>
      </c>
      <c r="Y95">
        <v>1.82</v>
      </c>
      <c r="Z95">
        <v>0</v>
      </c>
      <c r="AA95">
        <v>0</v>
      </c>
      <c r="AB95">
        <v>0</v>
      </c>
      <c r="AC95">
        <v>0</v>
      </c>
      <c r="AD95">
        <v>1</v>
      </c>
      <c r="AE95">
        <v>0</v>
      </c>
      <c r="AF95" t="s">
        <v>6</v>
      </c>
      <c r="AG95">
        <v>0.2</v>
      </c>
      <c r="AH95">
        <v>2</v>
      </c>
      <c r="AI95">
        <v>74242840</v>
      </c>
      <c r="AJ95">
        <v>95</v>
      </c>
      <c r="AK95">
        <v>3</v>
      </c>
      <c r="AL95">
        <v>-0.36400000000000005</v>
      </c>
      <c r="AM95">
        <v>0</v>
      </c>
      <c r="AN95">
        <v>0</v>
      </c>
      <c r="AO95">
        <v>0</v>
      </c>
      <c r="AP95">
        <v>0</v>
      </c>
      <c r="AQ95">
        <v>0</v>
      </c>
      <c r="AR95">
        <v>1</v>
      </c>
    </row>
    <row r="96" spans="1:44" x14ac:dyDescent="0.2">
      <c r="A96">
        <f>ROW(Source!A75)</f>
        <v>75</v>
      </c>
      <c r="B96">
        <v>74242847</v>
      </c>
      <c r="C96">
        <v>74242835</v>
      </c>
      <c r="D96">
        <v>27373221</v>
      </c>
      <c r="E96">
        <v>1</v>
      </c>
      <c r="F96">
        <v>1</v>
      </c>
      <c r="G96">
        <v>1</v>
      </c>
      <c r="H96">
        <v>3</v>
      </c>
      <c r="I96" t="s">
        <v>273</v>
      </c>
      <c r="J96" t="s">
        <v>274</v>
      </c>
      <c r="K96" t="s">
        <v>275</v>
      </c>
      <c r="L96">
        <v>1348</v>
      </c>
      <c r="N96">
        <v>1009</v>
      </c>
      <c r="O96" t="s">
        <v>44</v>
      </c>
      <c r="P96" t="s">
        <v>44</v>
      </c>
      <c r="Q96">
        <v>1000</v>
      </c>
      <c r="X96">
        <v>0.02</v>
      </c>
      <c r="Y96">
        <v>0</v>
      </c>
      <c r="Z96">
        <v>0</v>
      </c>
      <c r="AA96">
        <v>0</v>
      </c>
      <c r="AB96">
        <v>0</v>
      </c>
      <c r="AC96">
        <v>0</v>
      </c>
      <c r="AD96">
        <v>0</v>
      </c>
      <c r="AE96">
        <v>0</v>
      </c>
      <c r="AF96" t="s">
        <v>6</v>
      </c>
      <c r="AG96">
        <v>0.02</v>
      </c>
      <c r="AH96">
        <v>3</v>
      </c>
      <c r="AI96">
        <v>-1</v>
      </c>
      <c r="AJ96" t="s">
        <v>6</v>
      </c>
      <c r="AK96">
        <v>0</v>
      </c>
      <c r="AL96">
        <v>0</v>
      </c>
      <c r="AM96">
        <v>0</v>
      </c>
      <c r="AN96">
        <v>0</v>
      </c>
      <c r="AO96">
        <v>0</v>
      </c>
      <c r="AP96">
        <v>0</v>
      </c>
      <c r="AQ96">
        <v>0</v>
      </c>
      <c r="AR96">
        <v>0</v>
      </c>
    </row>
    <row r="97" spans="1:44" x14ac:dyDescent="0.2">
      <c r="A97">
        <f>ROW(Source!A76)</f>
        <v>76</v>
      </c>
      <c r="B97">
        <v>74242842</v>
      </c>
      <c r="C97">
        <v>74242835</v>
      </c>
      <c r="D97">
        <v>27499237</v>
      </c>
      <c r="E97">
        <v>1</v>
      </c>
      <c r="F97">
        <v>1</v>
      </c>
      <c r="G97">
        <v>1</v>
      </c>
      <c r="H97">
        <v>1</v>
      </c>
      <c r="I97" t="s">
        <v>247</v>
      </c>
      <c r="J97" t="s">
        <v>6</v>
      </c>
      <c r="K97" t="s">
        <v>248</v>
      </c>
      <c r="L97">
        <v>1369</v>
      </c>
      <c r="N97">
        <v>1013</v>
      </c>
      <c r="O97" t="s">
        <v>249</v>
      </c>
      <c r="P97" t="s">
        <v>249</v>
      </c>
      <c r="Q97">
        <v>1</v>
      </c>
      <c r="X97">
        <v>16.32</v>
      </c>
      <c r="Y97">
        <v>0</v>
      </c>
      <c r="Z97">
        <v>0</v>
      </c>
      <c r="AA97">
        <v>0</v>
      </c>
      <c r="AB97">
        <v>9.6999999999999993</v>
      </c>
      <c r="AC97">
        <v>0</v>
      </c>
      <c r="AD97">
        <v>1</v>
      </c>
      <c r="AE97">
        <v>1</v>
      </c>
      <c r="AF97" t="s">
        <v>6</v>
      </c>
      <c r="AG97">
        <v>16.32</v>
      </c>
      <c r="AH97">
        <v>2</v>
      </c>
      <c r="AI97">
        <v>74242836</v>
      </c>
      <c r="AJ97">
        <v>97</v>
      </c>
      <c r="AK97">
        <v>0</v>
      </c>
      <c r="AL97">
        <v>0</v>
      </c>
      <c r="AM97">
        <v>0</v>
      </c>
      <c r="AN97">
        <v>0</v>
      </c>
      <c r="AO97">
        <v>0</v>
      </c>
      <c r="AP97">
        <v>0</v>
      </c>
      <c r="AQ97">
        <v>0</v>
      </c>
      <c r="AR97">
        <v>0</v>
      </c>
    </row>
    <row r="98" spans="1:44" x14ac:dyDescent="0.2">
      <c r="A98">
        <f>ROW(Source!A76)</f>
        <v>76</v>
      </c>
      <c r="B98">
        <v>74242843</v>
      </c>
      <c r="C98">
        <v>74242835</v>
      </c>
      <c r="D98">
        <v>121548</v>
      </c>
      <c r="E98">
        <v>1</v>
      </c>
      <c r="F98">
        <v>1</v>
      </c>
      <c r="G98">
        <v>1</v>
      </c>
      <c r="H98">
        <v>1</v>
      </c>
      <c r="I98" t="s">
        <v>40</v>
      </c>
      <c r="J98" t="s">
        <v>6</v>
      </c>
      <c r="K98" t="s">
        <v>250</v>
      </c>
      <c r="L98">
        <v>608254</v>
      </c>
      <c r="N98">
        <v>1013</v>
      </c>
      <c r="O98" t="s">
        <v>251</v>
      </c>
      <c r="P98" t="s">
        <v>251</v>
      </c>
      <c r="Q98">
        <v>1</v>
      </c>
      <c r="X98">
        <v>0.01</v>
      </c>
      <c r="Y98">
        <v>0</v>
      </c>
      <c r="Z98">
        <v>0</v>
      </c>
      <c r="AA98">
        <v>0</v>
      </c>
      <c r="AB98">
        <v>0</v>
      </c>
      <c r="AC98">
        <v>0</v>
      </c>
      <c r="AD98">
        <v>1</v>
      </c>
      <c r="AE98">
        <v>2</v>
      </c>
      <c r="AF98" t="s">
        <v>6</v>
      </c>
      <c r="AG98">
        <v>0.01</v>
      </c>
      <c r="AH98">
        <v>2</v>
      </c>
      <c r="AI98">
        <v>74242837</v>
      </c>
      <c r="AJ98">
        <v>98</v>
      </c>
      <c r="AK98">
        <v>0</v>
      </c>
      <c r="AL98">
        <v>0</v>
      </c>
      <c r="AM98">
        <v>0</v>
      </c>
      <c r="AN98">
        <v>0</v>
      </c>
      <c r="AO98">
        <v>0</v>
      </c>
      <c r="AP98">
        <v>0</v>
      </c>
      <c r="AQ98">
        <v>0</v>
      </c>
      <c r="AR98">
        <v>0</v>
      </c>
    </row>
    <row r="99" spans="1:44" x14ac:dyDescent="0.2">
      <c r="A99">
        <f>ROW(Source!A76)</f>
        <v>76</v>
      </c>
      <c r="B99">
        <v>74242844</v>
      </c>
      <c r="C99">
        <v>74242835</v>
      </c>
      <c r="D99">
        <v>27439630</v>
      </c>
      <c r="E99">
        <v>1</v>
      </c>
      <c r="F99">
        <v>1</v>
      </c>
      <c r="G99">
        <v>1</v>
      </c>
      <c r="H99">
        <v>2</v>
      </c>
      <c r="I99" t="s">
        <v>252</v>
      </c>
      <c r="J99" t="s">
        <v>253</v>
      </c>
      <c r="K99" t="s">
        <v>254</v>
      </c>
      <c r="L99">
        <v>1368</v>
      </c>
      <c r="N99">
        <v>1011</v>
      </c>
      <c r="O99" t="s">
        <v>255</v>
      </c>
      <c r="P99" t="s">
        <v>255</v>
      </c>
      <c r="Q99">
        <v>1</v>
      </c>
      <c r="X99">
        <v>0.01</v>
      </c>
      <c r="Y99">
        <v>0</v>
      </c>
      <c r="Z99">
        <v>31.27</v>
      </c>
      <c r="AA99">
        <v>13.61</v>
      </c>
      <c r="AB99">
        <v>0</v>
      </c>
      <c r="AC99">
        <v>0</v>
      </c>
      <c r="AD99">
        <v>1</v>
      </c>
      <c r="AE99">
        <v>0</v>
      </c>
      <c r="AF99" t="s">
        <v>6</v>
      </c>
      <c r="AG99">
        <v>0.01</v>
      </c>
      <c r="AH99">
        <v>2</v>
      </c>
      <c r="AI99">
        <v>74242838</v>
      </c>
      <c r="AJ99">
        <v>99</v>
      </c>
      <c r="AK99">
        <v>0</v>
      </c>
      <c r="AL99">
        <v>0</v>
      </c>
      <c r="AM99">
        <v>0</v>
      </c>
      <c r="AN99">
        <v>0</v>
      </c>
      <c r="AO99">
        <v>0</v>
      </c>
      <c r="AP99">
        <v>0</v>
      </c>
      <c r="AQ99">
        <v>0</v>
      </c>
      <c r="AR99">
        <v>0</v>
      </c>
    </row>
    <row r="100" spans="1:44" x14ac:dyDescent="0.2">
      <c r="A100">
        <f>ROW(Source!A76)</f>
        <v>76</v>
      </c>
      <c r="B100">
        <v>74242845</v>
      </c>
      <c r="C100">
        <v>74242835</v>
      </c>
      <c r="D100">
        <v>27441327</v>
      </c>
      <c r="E100">
        <v>1</v>
      </c>
      <c r="F100">
        <v>1</v>
      </c>
      <c r="G100">
        <v>1</v>
      </c>
      <c r="H100">
        <v>2</v>
      </c>
      <c r="I100" t="s">
        <v>256</v>
      </c>
      <c r="J100" t="s">
        <v>257</v>
      </c>
      <c r="K100" t="s">
        <v>258</v>
      </c>
      <c r="L100">
        <v>1368</v>
      </c>
      <c r="N100">
        <v>1011</v>
      </c>
      <c r="O100" t="s">
        <v>255</v>
      </c>
      <c r="P100" t="s">
        <v>255</v>
      </c>
      <c r="Q100">
        <v>1</v>
      </c>
      <c r="X100">
        <v>0.02</v>
      </c>
      <c r="Y100">
        <v>0</v>
      </c>
      <c r="Z100">
        <v>93.37</v>
      </c>
      <c r="AA100">
        <v>11.69</v>
      </c>
      <c r="AB100">
        <v>0</v>
      </c>
      <c r="AC100">
        <v>0</v>
      </c>
      <c r="AD100">
        <v>1</v>
      </c>
      <c r="AE100">
        <v>0</v>
      </c>
      <c r="AF100" t="s">
        <v>6</v>
      </c>
      <c r="AG100">
        <v>0.02</v>
      </c>
      <c r="AH100">
        <v>2</v>
      </c>
      <c r="AI100">
        <v>74242839</v>
      </c>
      <c r="AJ100">
        <v>100</v>
      </c>
      <c r="AK100">
        <v>0</v>
      </c>
      <c r="AL100">
        <v>0</v>
      </c>
      <c r="AM100">
        <v>0</v>
      </c>
      <c r="AN100">
        <v>0</v>
      </c>
      <c r="AO100">
        <v>0</v>
      </c>
      <c r="AP100">
        <v>0</v>
      </c>
      <c r="AQ100">
        <v>0</v>
      </c>
      <c r="AR100">
        <v>0</v>
      </c>
    </row>
    <row r="101" spans="1:44" x14ac:dyDescent="0.2">
      <c r="A101">
        <f>ROW(Source!A76)</f>
        <v>76</v>
      </c>
      <c r="B101">
        <v>74242846</v>
      </c>
      <c r="C101">
        <v>74242835</v>
      </c>
      <c r="D101">
        <v>27371543</v>
      </c>
      <c r="E101">
        <v>1</v>
      </c>
      <c r="F101">
        <v>1</v>
      </c>
      <c r="G101">
        <v>1</v>
      </c>
      <c r="H101">
        <v>3</v>
      </c>
      <c r="I101" t="s">
        <v>31</v>
      </c>
      <c r="J101" t="s">
        <v>34</v>
      </c>
      <c r="K101" t="s">
        <v>32</v>
      </c>
      <c r="L101">
        <v>1346</v>
      </c>
      <c r="N101">
        <v>1009</v>
      </c>
      <c r="O101" t="s">
        <v>33</v>
      </c>
      <c r="P101" t="s">
        <v>33</v>
      </c>
      <c r="Q101">
        <v>1</v>
      </c>
      <c r="X101">
        <v>0.2</v>
      </c>
      <c r="Y101">
        <v>1.82</v>
      </c>
      <c r="Z101">
        <v>0</v>
      </c>
      <c r="AA101">
        <v>0</v>
      </c>
      <c r="AB101">
        <v>0</v>
      </c>
      <c r="AC101">
        <v>0</v>
      </c>
      <c r="AD101">
        <v>1</v>
      </c>
      <c r="AE101">
        <v>0</v>
      </c>
      <c r="AF101" t="s">
        <v>6</v>
      </c>
      <c r="AG101">
        <v>0.2</v>
      </c>
      <c r="AH101">
        <v>2</v>
      </c>
      <c r="AI101">
        <v>74242840</v>
      </c>
      <c r="AJ101">
        <v>101</v>
      </c>
      <c r="AK101">
        <v>3</v>
      </c>
      <c r="AL101">
        <v>-0.36400000000000005</v>
      </c>
      <c r="AM101">
        <v>0</v>
      </c>
      <c r="AN101">
        <v>0</v>
      </c>
      <c r="AO101">
        <v>0</v>
      </c>
      <c r="AP101">
        <v>0</v>
      </c>
      <c r="AQ101">
        <v>0</v>
      </c>
      <c r="AR101">
        <v>1</v>
      </c>
    </row>
    <row r="102" spans="1:44" x14ac:dyDescent="0.2">
      <c r="A102">
        <f>ROW(Source!A76)</f>
        <v>76</v>
      </c>
      <c r="B102">
        <v>74242847</v>
      </c>
      <c r="C102">
        <v>74242835</v>
      </c>
      <c r="D102">
        <v>27373221</v>
      </c>
      <c r="E102">
        <v>1</v>
      </c>
      <c r="F102">
        <v>1</v>
      </c>
      <c r="G102">
        <v>1</v>
      </c>
      <c r="H102">
        <v>3</v>
      </c>
      <c r="I102" t="s">
        <v>273</v>
      </c>
      <c r="J102" t="s">
        <v>274</v>
      </c>
      <c r="K102" t="s">
        <v>275</v>
      </c>
      <c r="L102">
        <v>1348</v>
      </c>
      <c r="N102">
        <v>1009</v>
      </c>
      <c r="O102" t="s">
        <v>44</v>
      </c>
      <c r="P102" t="s">
        <v>44</v>
      </c>
      <c r="Q102">
        <v>1000</v>
      </c>
      <c r="X102">
        <v>0.02</v>
      </c>
      <c r="Y102">
        <v>0</v>
      </c>
      <c r="Z102">
        <v>0</v>
      </c>
      <c r="AA102">
        <v>0</v>
      </c>
      <c r="AB102">
        <v>0</v>
      </c>
      <c r="AC102">
        <v>0</v>
      </c>
      <c r="AD102">
        <v>0</v>
      </c>
      <c r="AE102">
        <v>0</v>
      </c>
      <c r="AF102" t="s">
        <v>6</v>
      </c>
      <c r="AG102">
        <v>0.02</v>
      </c>
      <c r="AH102">
        <v>3</v>
      </c>
      <c r="AI102">
        <v>-1</v>
      </c>
      <c r="AJ102" t="s">
        <v>6</v>
      </c>
      <c r="AK102">
        <v>0</v>
      </c>
      <c r="AL102">
        <v>0</v>
      </c>
      <c r="AM102">
        <v>0</v>
      </c>
      <c r="AN102">
        <v>0</v>
      </c>
      <c r="AO102">
        <v>0</v>
      </c>
      <c r="AP102">
        <v>0</v>
      </c>
      <c r="AQ102">
        <v>0</v>
      </c>
      <c r="AR102">
        <v>0</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cols>
    <col min="1" max="256" width="9.140625" customWidth="1"/>
  </cols>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2"/>
  <sheetViews>
    <sheetView workbookViewId="0"/>
  </sheetViews>
  <sheetFormatPr defaultColWidth="9.140625" defaultRowHeight="12.75" x14ac:dyDescent="0.2"/>
  <cols>
    <col min="1" max="256" width="9.140625" customWidth="1"/>
  </cols>
  <sheetData>
    <row r="1" spans="1:103" x14ac:dyDescent="0.2">
      <c r="A1">
        <v>0</v>
      </c>
      <c r="B1" t="s">
        <v>0</v>
      </c>
      <c r="D1" t="s">
        <v>1</v>
      </c>
      <c r="F1">
        <v>0</v>
      </c>
      <c r="G1">
        <v>0</v>
      </c>
      <c r="H1">
        <v>0</v>
      </c>
      <c r="I1" t="s">
        <v>2</v>
      </c>
      <c r="J1" t="s">
        <v>3</v>
      </c>
      <c r="K1">
        <v>1</v>
      </c>
      <c r="L1">
        <v>20266</v>
      </c>
      <c r="M1">
        <v>66415739</v>
      </c>
      <c r="N1">
        <v>11</v>
      </c>
      <c r="O1">
        <v>11</v>
      </c>
      <c r="P1">
        <v>0</v>
      </c>
      <c r="Q1">
        <v>3</v>
      </c>
    </row>
    <row r="12" spans="1:103" x14ac:dyDescent="0.2">
      <c r="F12" t="str">
        <f>Source!F12</f>
        <v>5.9.3.4 Отделка квартир типа "Теплый White Box" Д1</v>
      </c>
      <c r="G12" t="str">
        <f>Source!G12</f>
        <v>Комплекс из 2-х многоквартирных домов, расположенных по адресу г.Орел, б-р Молодежи, участок 2а. 1-й этап строительства - многоквартирный дом корпус 2 (поз.1)</v>
      </c>
      <c r="AB12" t="s">
        <v>6</v>
      </c>
      <c r="AC12" t="s">
        <v>6</v>
      </c>
      <c r="AD12" t="s">
        <v>6</v>
      </c>
      <c r="AE12" t="s">
        <v>6</v>
      </c>
      <c r="AH12" t="s">
        <v>6</v>
      </c>
      <c r="AI12" t="s">
        <v>6</v>
      </c>
      <c r="CY12">
        <f>Source!CY12</f>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59"/>
  <sheetViews>
    <sheetView workbookViewId="0">
      <selection sqref="A1:G1"/>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267" t="s">
        <v>290</v>
      </c>
      <c r="B1" s="267"/>
      <c r="C1" s="267"/>
      <c r="D1" s="267"/>
      <c r="E1" s="267"/>
      <c r="F1" s="267"/>
      <c r="G1" s="267"/>
    </row>
    <row r="3" spans="1:255" x14ac:dyDescent="0.2">
      <c r="A3" s="20" t="s">
        <v>297</v>
      </c>
      <c r="B3" s="19"/>
      <c r="C3" s="269"/>
      <c r="D3" s="270"/>
      <c r="E3" s="270"/>
      <c r="F3" s="270"/>
      <c r="G3" s="270"/>
      <c r="BR3" s="22">
        <f>C3</f>
        <v>0</v>
      </c>
      <c r="IU3" s="23"/>
    </row>
    <row r="4" spans="1:255" x14ac:dyDescent="0.2">
      <c r="A4" s="20" t="s">
        <v>299</v>
      </c>
      <c r="B4" s="19"/>
      <c r="C4" s="271"/>
      <c r="D4" s="272"/>
      <c r="E4" s="272"/>
      <c r="F4" s="272"/>
      <c r="G4" s="272"/>
      <c r="BR4" s="22">
        <f>C4</f>
        <v>0</v>
      </c>
      <c r="IU4" s="23"/>
    </row>
    <row r="5" spans="1:255" x14ac:dyDescent="0.2">
      <c r="A5" s="20" t="s">
        <v>300</v>
      </c>
      <c r="B5" s="19"/>
      <c r="C5" s="271"/>
      <c r="D5" s="272"/>
      <c r="E5" s="272"/>
      <c r="F5" s="272"/>
      <c r="G5" s="272"/>
      <c r="BR5" s="22">
        <f>C5</f>
        <v>0</v>
      </c>
      <c r="IU5" s="23"/>
    </row>
    <row r="6" spans="1:255" x14ac:dyDescent="0.2">
      <c r="A6" s="20" t="s">
        <v>301</v>
      </c>
      <c r="B6" s="19"/>
      <c r="C6" s="265"/>
      <c r="D6" s="266"/>
      <c r="E6" s="266"/>
      <c r="F6" s="266"/>
      <c r="G6" s="266"/>
      <c r="BR6" s="22">
        <f>C6</f>
        <v>0</v>
      </c>
      <c r="IU6" s="23"/>
    </row>
    <row r="7" spans="1:255" x14ac:dyDescent="0.2">
      <c r="A7" s="254"/>
      <c r="B7" s="254"/>
      <c r="C7" s="254"/>
      <c r="D7" s="254"/>
      <c r="E7" s="254"/>
      <c r="F7" s="254"/>
      <c r="G7" s="254"/>
    </row>
    <row r="8" spans="1:255" ht="18.75" x14ac:dyDescent="0.3">
      <c r="A8" s="255" t="s">
        <v>467</v>
      </c>
      <c r="B8" s="255"/>
      <c r="C8" s="255"/>
      <c r="D8" s="255"/>
      <c r="E8" s="255"/>
      <c r="F8" s="255"/>
      <c r="G8" s="255"/>
    </row>
    <row r="9" spans="1:255" x14ac:dyDescent="0.2">
      <c r="A9" s="256"/>
      <c r="B9" s="256"/>
      <c r="C9" s="256"/>
      <c r="D9" s="256"/>
      <c r="E9" s="256"/>
      <c r="F9" s="256"/>
      <c r="G9" s="256"/>
    </row>
    <row r="10" spans="1:255" x14ac:dyDescent="0.2">
      <c r="A10" s="256" t="s">
        <v>8</v>
      </c>
      <c r="B10" s="256"/>
      <c r="C10" s="256"/>
      <c r="D10" s="256"/>
      <c r="E10" s="256"/>
      <c r="F10" s="256"/>
      <c r="G10" s="256"/>
    </row>
    <row r="11" spans="1:255" ht="47.25" x14ac:dyDescent="0.25">
      <c r="A11" s="14" t="s">
        <v>303</v>
      </c>
      <c r="B11" s="257" t="s">
        <v>5</v>
      </c>
      <c r="C11" s="257"/>
      <c r="D11" s="257"/>
      <c r="E11" s="257"/>
      <c r="F11" s="257"/>
      <c r="G11" s="257"/>
      <c r="BS11" s="180" t="str">
        <f>B11</f>
        <v>Комплекс из 2-х многоквартирных домов, расположенных по адресу г.Орел, б-р Молодежи, участок 2а. 1-й этап строительства - многоквартирный дом корпус 2 (поз.1)</v>
      </c>
      <c r="IU11" s="23"/>
    </row>
    <row r="13" spans="1:255" x14ac:dyDescent="0.2">
      <c r="A13" s="14" t="s">
        <v>318</v>
      </c>
    </row>
    <row r="14" spans="1:255" x14ac:dyDescent="0.2">
      <c r="A14" s="14" t="s">
        <v>319</v>
      </c>
    </row>
    <row r="15" spans="1:255" x14ac:dyDescent="0.2">
      <c r="A15" s="181" t="s">
        <v>438</v>
      </c>
      <c r="B15" s="181" t="s">
        <v>440</v>
      </c>
      <c r="C15" s="181" t="s">
        <v>443</v>
      </c>
      <c r="D15" s="181" t="s">
        <v>445</v>
      </c>
      <c r="E15" s="181" t="s">
        <v>448</v>
      </c>
      <c r="F15" s="181" t="s">
        <v>450</v>
      </c>
      <c r="G15" s="181" t="s">
        <v>452</v>
      </c>
      <c r="H15" s="181" t="s">
        <v>454</v>
      </c>
      <c r="I15" s="182" t="s">
        <v>414</v>
      </c>
    </row>
    <row r="16" spans="1:255" x14ac:dyDescent="0.2">
      <c r="A16" s="183" t="s">
        <v>439</v>
      </c>
      <c r="B16" s="183" t="s">
        <v>441</v>
      </c>
      <c r="C16" s="183" t="s">
        <v>468</v>
      </c>
      <c r="D16" s="183" t="s">
        <v>446</v>
      </c>
      <c r="E16" s="183" t="s">
        <v>449</v>
      </c>
      <c r="F16" s="183" t="s">
        <v>451</v>
      </c>
      <c r="G16" s="183" t="s">
        <v>453</v>
      </c>
      <c r="H16" s="183" t="s">
        <v>455</v>
      </c>
      <c r="I16" s="184" t="s">
        <v>352</v>
      </c>
    </row>
    <row r="17" spans="1:255" x14ac:dyDescent="0.2">
      <c r="A17" s="183"/>
      <c r="B17" s="183" t="s">
        <v>442</v>
      </c>
      <c r="C17" s="183"/>
      <c r="D17" s="183" t="s">
        <v>447</v>
      </c>
      <c r="E17" s="183"/>
      <c r="F17" s="183"/>
      <c r="G17" s="183" t="s">
        <v>451</v>
      </c>
      <c r="H17" s="183" t="s">
        <v>456</v>
      </c>
      <c r="I17" s="184"/>
    </row>
    <row r="18" spans="1:255" x14ac:dyDescent="0.2">
      <c r="A18" s="181">
        <v>1</v>
      </c>
      <c r="B18" s="181">
        <v>2</v>
      </c>
      <c r="C18" s="181">
        <v>3</v>
      </c>
      <c r="D18" s="181">
        <v>4</v>
      </c>
      <c r="E18" s="181">
        <v>5</v>
      </c>
      <c r="F18" s="181">
        <v>6</v>
      </c>
      <c r="G18" s="181">
        <v>7</v>
      </c>
      <c r="H18" s="181">
        <v>8</v>
      </c>
      <c r="I18" s="182">
        <v>9</v>
      </c>
    </row>
    <row r="19" spans="1:255" x14ac:dyDescent="0.2">
      <c r="A19" s="191"/>
      <c r="B19" s="191" t="s">
        <v>469</v>
      </c>
      <c r="C19" s="191"/>
      <c r="D19" s="191"/>
      <c r="E19" s="191"/>
      <c r="F19" s="191"/>
      <c r="G19" s="188"/>
      <c r="H19" s="188"/>
      <c r="I19" s="188"/>
    </row>
    <row r="20" spans="1:255" s="43" customFormat="1" ht="24" x14ac:dyDescent="0.2">
      <c r="A20" s="192">
        <v>1</v>
      </c>
      <c r="B20" s="193" t="s">
        <v>259</v>
      </c>
      <c r="C20" s="193" t="s">
        <v>260</v>
      </c>
      <c r="D20" s="193" t="s">
        <v>249</v>
      </c>
      <c r="E20" s="194">
        <f>ROUND(O20,3)</f>
        <v>53.043999999999997</v>
      </c>
      <c r="F20" s="195">
        <f>ROUND( 9.7 * 38.19, 2 )</f>
        <v>370.44</v>
      </c>
      <c r="G20" s="195">
        <f>ROUND(E20*F20,2)</f>
        <v>19649.62</v>
      </c>
      <c r="H20" s="199" t="s">
        <v>472</v>
      </c>
      <c r="I20" s="199" t="s">
        <v>459</v>
      </c>
      <c r="N20" s="185"/>
      <c r="O20" s="185">
        <f>SUM(P20:IV20)</f>
        <v>53.044200000000004</v>
      </c>
      <c r="P20" s="185">
        <f>SmtRes!CX19</f>
        <v>30.484300000000001</v>
      </c>
      <c r="Q20" s="185">
        <f>SmtRes!CX67</f>
        <v>22.559899999999999</v>
      </c>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row>
    <row r="21" spans="1:255" s="43" customFormat="1" ht="24" x14ac:dyDescent="0.2">
      <c r="A21" s="192">
        <v>2</v>
      </c>
      <c r="B21" s="193" t="s">
        <v>247</v>
      </c>
      <c r="C21" s="193" t="s">
        <v>248</v>
      </c>
      <c r="D21" s="193" t="s">
        <v>249</v>
      </c>
      <c r="E21" s="194">
        <f>ROUND(O21,3)</f>
        <v>232.161</v>
      </c>
      <c r="F21" s="195">
        <f>ROUND( 9.7 * 34.6, 2 )</f>
        <v>335.62</v>
      </c>
      <c r="G21" s="195">
        <f>ROUND(E21*F21,2)</f>
        <v>77917.87</v>
      </c>
      <c r="H21" s="199" t="s">
        <v>470</v>
      </c>
      <c r="I21" s="199" t="s">
        <v>459</v>
      </c>
      <c r="N21" s="185"/>
      <c r="O21" s="185">
        <f>SUM(P21:IV21)</f>
        <v>232.16087999999999</v>
      </c>
      <c r="P21" s="185">
        <f>SmtRes!CX7</f>
        <v>155.22839999999999</v>
      </c>
      <c r="Q21" s="185">
        <f>SmtRes!CX97</f>
        <v>76.932479999999998</v>
      </c>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row>
    <row r="22" spans="1:255" s="43" customFormat="1" ht="24" x14ac:dyDescent="0.2">
      <c r="A22" s="192">
        <v>3</v>
      </c>
      <c r="B22" s="193" t="s">
        <v>261</v>
      </c>
      <c r="C22" s="193" t="s">
        <v>262</v>
      </c>
      <c r="D22" s="193" t="s">
        <v>249</v>
      </c>
      <c r="E22" s="194">
        <f>ROUND(O22,3)</f>
        <v>1119.52</v>
      </c>
      <c r="F22" s="195">
        <f>ROUND( 9.71 * 34.6, 2 )</f>
        <v>335.97</v>
      </c>
      <c r="G22" s="195">
        <f>ROUND(E22*F22,2)</f>
        <v>376125.13</v>
      </c>
      <c r="H22" s="199" t="s">
        <v>473</v>
      </c>
      <c r="I22" s="199" t="s">
        <v>459</v>
      </c>
      <c r="N22" s="185"/>
      <c r="O22" s="185">
        <f>SUM(P22:IV22)</f>
        <v>1119.5201999999999</v>
      </c>
      <c r="P22" s="185">
        <f>SmtRes!CX34</f>
        <v>385.63763999999998</v>
      </c>
      <c r="Q22" s="185">
        <f>SmtRes!CX52</f>
        <v>432.81044000000003</v>
      </c>
      <c r="R22" s="185">
        <f>SmtRes!CX82</f>
        <v>301.07211999999998</v>
      </c>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row>
    <row r="23" spans="1:255" s="43" customFormat="1" ht="12" x14ac:dyDescent="0.2">
      <c r="A23" s="192">
        <v>4</v>
      </c>
      <c r="B23" s="193" t="s">
        <v>40</v>
      </c>
      <c r="C23" s="193" t="s">
        <v>250</v>
      </c>
      <c r="D23" s="193" t="s">
        <v>251</v>
      </c>
      <c r="E23" s="194">
        <f>ROUND(O23,3)</f>
        <v>7.0789999999999997</v>
      </c>
      <c r="F23" s="195">
        <f>ROUND( 0, 2 )</f>
        <v>0</v>
      </c>
      <c r="G23" s="195">
        <f>ROUND(E23*F23,2)</f>
        <v>0</v>
      </c>
      <c r="H23" s="200" t="s">
        <v>471</v>
      </c>
      <c r="I23" s="200" t="s">
        <v>459</v>
      </c>
      <c r="N23" s="185"/>
      <c r="O23" s="185">
        <f>SUM(P23:IV23)</f>
        <v>7.0789999999999997</v>
      </c>
      <c r="P23" s="185">
        <f>SmtRes!CX8</f>
        <v>0.19164</v>
      </c>
      <c r="Q23" s="185">
        <f>SmtRes!CX20</f>
        <v>0.27712999999999999</v>
      </c>
      <c r="R23" s="185">
        <f>SmtRes!CX35</f>
        <v>2.3586399999999998</v>
      </c>
      <c r="S23" s="185">
        <f>SmtRes!CX53</f>
        <v>2.3586399999999998</v>
      </c>
      <c r="T23" s="185">
        <f>SmtRes!CX68</f>
        <v>0.20508999999999999</v>
      </c>
      <c r="U23" s="185">
        <f>SmtRes!CX83</f>
        <v>1.64072</v>
      </c>
      <c r="V23" s="185">
        <f>SmtRes!CX98</f>
        <v>4.7140000000000001E-2</v>
      </c>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row>
    <row r="24" spans="1:255" x14ac:dyDescent="0.2">
      <c r="A24" s="201"/>
      <c r="B24" s="201"/>
      <c r="C24" s="202" t="s">
        <v>413</v>
      </c>
      <c r="D24" s="201"/>
      <c r="E24" s="201"/>
      <c r="F24" s="201"/>
      <c r="G24" s="203">
        <f>ROUND(SUM(G20:G23),2)</f>
        <v>473692.62</v>
      </c>
      <c r="H24" s="201"/>
      <c r="I24" s="201"/>
      <c r="J24" s="23"/>
      <c r="K24" s="178">
        <f>G24</f>
        <v>473692.62</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32"/>
      <c r="B25" s="53"/>
      <c r="C25" s="53"/>
      <c r="D25" s="53"/>
      <c r="E25" s="53"/>
      <c r="F25" s="53"/>
      <c r="G25" s="204"/>
      <c r="H25" s="53"/>
      <c r="I25" s="204"/>
    </row>
    <row r="26" spans="1:255" x14ac:dyDescent="0.2">
      <c r="A26" s="191"/>
      <c r="B26" s="191" t="s">
        <v>474</v>
      </c>
      <c r="C26" s="191"/>
      <c r="D26" s="191"/>
      <c r="E26" s="191"/>
      <c r="F26" s="191"/>
      <c r="G26" s="188"/>
      <c r="H26" s="188"/>
      <c r="I26" s="188"/>
    </row>
    <row r="27" spans="1:255" s="43" customFormat="1" ht="36" x14ac:dyDescent="0.2">
      <c r="A27" s="192">
        <v>5</v>
      </c>
      <c r="B27" s="193" t="s">
        <v>252</v>
      </c>
      <c r="C27" s="193" t="s">
        <v>254</v>
      </c>
      <c r="D27" s="193" t="s">
        <v>255</v>
      </c>
      <c r="E27" s="194">
        <f>ROUND(O27,3)</f>
        <v>0.33500000000000002</v>
      </c>
      <c r="F27" s="195">
        <f>ROUND( 31.27 * 12.77, 2 )</f>
        <v>399.32</v>
      </c>
      <c r="G27" s="195">
        <f>ROUND(E27*F27,2)</f>
        <v>133.77000000000001</v>
      </c>
      <c r="H27" s="199" t="s">
        <v>475</v>
      </c>
      <c r="I27" s="199" t="s">
        <v>459</v>
      </c>
      <c r="N27" s="185"/>
      <c r="O27" s="185">
        <f>SUM(P27:IV27)</f>
        <v>0.33522400000000002</v>
      </c>
      <c r="P27" s="185">
        <f>SmtRes!CX9</f>
        <v>0.19164</v>
      </c>
      <c r="Q27" s="185">
        <f>SmtRes!CX21</f>
        <v>5.5426000000000003E-2</v>
      </c>
      <c r="R27" s="185">
        <f>SmtRes!CX69</f>
        <v>4.1017999999999999E-2</v>
      </c>
      <c r="S27" s="185">
        <f>SmtRes!CX99</f>
        <v>4.7140000000000001E-2</v>
      </c>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185"/>
      <c r="DW27" s="185"/>
      <c r="DX27" s="185"/>
      <c r="DY27" s="185"/>
      <c r="DZ27" s="185"/>
      <c r="EA27" s="185"/>
      <c r="EB27" s="185"/>
      <c r="EC27" s="185"/>
      <c r="ED27" s="185"/>
      <c r="EE27" s="185"/>
      <c r="EF27" s="185"/>
      <c r="EG27" s="185"/>
      <c r="EH27" s="185"/>
      <c r="EI27" s="185"/>
      <c r="EJ27" s="185"/>
      <c r="EK27" s="185"/>
      <c r="EL27" s="185"/>
      <c r="EM27" s="185"/>
      <c r="EN27" s="185"/>
      <c r="EO27" s="185"/>
      <c r="EP27" s="185"/>
      <c r="EQ27" s="185"/>
      <c r="ER27" s="185"/>
      <c r="ES27" s="185"/>
      <c r="ET27" s="185"/>
      <c r="EU27" s="185"/>
      <c r="EV27" s="185"/>
      <c r="EW27" s="185"/>
      <c r="EX27" s="185"/>
      <c r="EY27" s="185"/>
      <c r="EZ27" s="185"/>
      <c r="FA27" s="185"/>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85"/>
      <c r="GG27" s="185"/>
      <c r="GH27" s="185"/>
      <c r="GI27" s="185"/>
      <c r="GJ27" s="185"/>
      <c r="GK27" s="185"/>
      <c r="GL27" s="185"/>
      <c r="GM27" s="185"/>
      <c r="GN27" s="185"/>
      <c r="GO27" s="185"/>
      <c r="GP27" s="185"/>
      <c r="GQ27" s="185"/>
      <c r="GR27" s="185"/>
      <c r="GS27" s="185"/>
      <c r="GT27" s="185"/>
      <c r="GU27" s="185"/>
      <c r="GV27" s="185"/>
      <c r="GW27" s="185"/>
      <c r="GX27" s="185"/>
      <c r="GY27" s="185"/>
      <c r="GZ27" s="185"/>
      <c r="HA27" s="185"/>
      <c r="HB27" s="185"/>
      <c r="HC27" s="185"/>
      <c r="HD27" s="185"/>
      <c r="HE27" s="185"/>
      <c r="HF27" s="185"/>
      <c r="HG27" s="185"/>
      <c r="HH27" s="185"/>
      <c r="HI27" s="185"/>
      <c r="HJ27" s="185"/>
      <c r="HK27" s="185"/>
      <c r="HL27" s="185"/>
      <c r="HM27" s="185"/>
      <c r="HN27" s="185"/>
      <c r="HO27" s="185"/>
      <c r="HP27" s="185"/>
      <c r="HQ27" s="185"/>
      <c r="HR27" s="185"/>
      <c r="HS27" s="185"/>
      <c r="HT27" s="185"/>
      <c r="HU27" s="185"/>
      <c r="HV27" s="185"/>
      <c r="HW27" s="185"/>
      <c r="HX27" s="185"/>
      <c r="HY27" s="185"/>
      <c r="HZ27" s="185"/>
      <c r="IA27" s="185"/>
      <c r="IB27" s="185"/>
      <c r="IC27" s="185"/>
      <c r="ID27" s="185"/>
      <c r="IE27" s="185"/>
      <c r="IF27" s="185"/>
      <c r="IG27" s="185"/>
      <c r="IH27" s="185"/>
      <c r="II27" s="185"/>
      <c r="IJ27" s="185"/>
      <c r="IK27" s="185"/>
      <c r="IL27" s="185"/>
      <c r="IM27" s="185"/>
      <c r="IN27" s="185"/>
      <c r="IO27" s="185"/>
      <c r="IP27" s="185"/>
      <c r="IQ27" s="185"/>
      <c r="IR27" s="185"/>
      <c r="IS27" s="185"/>
      <c r="IT27" s="185"/>
      <c r="IU27" s="185"/>
    </row>
    <row r="28" spans="1:255" s="43" customFormat="1" ht="24" x14ac:dyDescent="0.2">
      <c r="A28" s="192">
        <v>6</v>
      </c>
      <c r="B28" s="193" t="s">
        <v>263</v>
      </c>
      <c r="C28" s="193" t="s">
        <v>265</v>
      </c>
      <c r="D28" s="193" t="s">
        <v>266</v>
      </c>
      <c r="E28" s="194">
        <f>ROUND(O28,3)</f>
        <v>1.59</v>
      </c>
      <c r="F28" s="195">
        <f>ROUND( 55.14 * 12.77, 2 )</f>
        <v>704.14</v>
      </c>
      <c r="G28" s="195">
        <f>ROUND(E28*F28,2)</f>
        <v>1119.58</v>
      </c>
      <c r="H28" s="199" t="s">
        <v>477</v>
      </c>
      <c r="I28" s="199" t="s">
        <v>459</v>
      </c>
      <c r="N28" s="185"/>
      <c r="O28" s="185">
        <f>SUM(P28:IV28)</f>
        <v>1.5894999999999999</v>
      </c>
      <c r="P28" s="185">
        <f>SmtRes!CX36</f>
        <v>0.58965999999999996</v>
      </c>
      <c r="Q28" s="185">
        <f>SmtRes!CX54</f>
        <v>0.58965999999999996</v>
      </c>
      <c r="R28" s="185">
        <f>SmtRes!CX84</f>
        <v>0.41017999999999999</v>
      </c>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c r="CD28" s="185"/>
      <c r="CE28" s="185"/>
      <c r="CF28" s="185"/>
      <c r="CG28" s="185"/>
      <c r="CH28" s="185"/>
      <c r="CI28" s="185"/>
      <c r="CJ28" s="185"/>
      <c r="CK28" s="185"/>
      <c r="CL28" s="185"/>
      <c r="CM28" s="185"/>
      <c r="CN28" s="185"/>
      <c r="CO28" s="185"/>
      <c r="CP28" s="185"/>
      <c r="CQ28" s="185"/>
      <c r="CR28" s="185"/>
      <c r="CS28" s="185"/>
      <c r="CT28" s="185"/>
      <c r="CU28" s="185"/>
      <c r="CV28" s="185"/>
      <c r="CW28" s="185"/>
      <c r="CX28" s="185"/>
      <c r="CY28" s="185"/>
      <c r="CZ28" s="185"/>
      <c r="DA28" s="185"/>
      <c r="DB28" s="185"/>
      <c r="DC28" s="185"/>
      <c r="DD28" s="185"/>
      <c r="DE28" s="185"/>
      <c r="DF28" s="185"/>
      <c r="DG28" s="185"/>
      <c r="DH28" s="185"/>
      <c r="DI28" s="185"/>
      <c r="DJ28" s="185"/>
      <c r="DK28" s="185"/>
      <c r="DL28" s="185"/>
      <c r="DM28" s="185"/>
      <c r="DN28" s="185"/>
      <c r="DO28" s="185"/>
      <c r="DP28" s="185"/>
      <c r="DQ28" s="185"/>
      <c r="DR28" s="185"/>
      <c r="DS28" s="185"/>
      <c r="DT28" s="185"/>
      <c r="DU28" s="185"/>
      <c r="DV28" s="185"/>
      <c r="DW28" s="185"/>
      <c r="DX28" s="185"/>
      <c r="DY28" s="185"/>
      <c r="DZ28" s="185"/>
      <c r="EA28" s="185"/>
      <c r="EB28" s="185"/>
      <c r="EC28" s="185"/>
      <c r="ED28" s="185"/>
      <c r="EE28" s="185"/>
      <c r="EF28" s="185"/>
      <c r="EG28" s="185"/>
      <c r="EH28" s="185"/>
      <c r="EI28" s="185"/>
      <c r="EJ28" s="185"/>
      <c r="EK28" s="185"/>
      <c r="EL28" s="185"/>
      <c r="EM28" s="185"/>
      <c r="EN28" s="185"/>
      <c r="EO28" s="185"/>
      <c r="EP28" s="185"/>
      <c r="EQ28" s="185"/>
      <c r="ER28" s="185"/>
      <c r="ES28" s="185"/>
      <c r="ET28" s="185"/>
      <c r="EU28" s="185"/>
      <c r="EV28" s="185"/>
      <c r="EW28" s="185"/>
      <c r="EX28" s="185"/>
      <c r="EY28" s="185"/>
      <c r="EZ28" s="185"/>
      <c r="FA28" s="185"/>
      <c r="FB28" s="185"/>
      <c r="FC28" s="185"/>
      <c r="FD28" s="185"/>
      <c r="FE28" s="185"/>
      <c r="FF28" s="185"/>
      <c r="FG28" s="185"/>
      <c r="FH28" s="185"/>
      <c r="FI28" s="185"/>
      <c r="FJ28" s="185"/>
      <c r="FK28" s="185"/>
      <c r="FL28" s="185"/>
      <c r="FM28" s="185"/>
      <c r="FN28" s="185"/>
      <c r="FO28" s="185"/>
      <c r="FP28" s="185"/>
      <c r="FQ28" s="185"/>
      <c r="FR28" s="185"/>
      <c r="FS28" s="185"/>
      <c r="FT28" s="185"/>
      <c r="FU28" s="185"/>
      <c r="FV28" s="185"/>
      <c r="FW28" s="185"/>
      <c r="FX28" s="185"/>
      <c r="FY28" s="185"/>
      <c r="FZ28" s="185"/>
      <c r="GA28" s="185"/>
      <c r="GB28" s="185"/>
      <c r="GC28" s="185"/>
      <c r="GD28" s="185"/>
      <c r="GE28" s="185"/>
      <c r="GF28" s="185"/>
      <c r="GG28" s="185"/>
      <c r="GH28" s="185"/>
      <c r="GI28" s="185"/>
      <c r="GJ28" s="185"/>
      <c r="GK28" s="185"/>
      <c r="GL28" s="185"/>
      <c r="GM28" s="185"/>
      <c r="GN28" s="185"/>
      <c r="GO28" s="185"/>
      <c r="GP28" s="185"/>
      <c r="GQ28" s="185"/>
      <c r="GR28" s="185"/>
      <c r="GS28" s="185"/>
      <c r="GT28" s="185"/>
      <c r="GU28" s="185"/>
      <c r="GV28" s="185"/>
      <c r="GW28" s="185"/>
      <c r="GX28" s="185"/>
      <c r="GY28" s="185"/>
      <c r="GZ28" s="185"/>
      <c r="HA28" s="185"/>
      <c r="HB28" s="185"/>
      <c r="HC28" s="185"/>
      <c r="HD28" s="185"/>
      <c r="HE28" s="185"/>
      <c r="HF28" s="185"/>
      <c r="HG28" s="185"/>
      <c r="HH28" s="185"/>
      <c r="HI28" s="185"/>
      <c r="HJ28" s="185"/>
      <c r="HK28" s="185"/>
      <c r="HL28" s="185"/>
      <c r="HM28" s="185"/>
      <c r="HN28" s="185"/>
      <c r="HO28" s="185"/>
      <c r="HP28" s="185"/>
      <c r="HQ28" s="185"/>
      <c r="HR28" s="185"/>
      <c r="HS28" s="185"/>
      <c r="HT28" s="185"/>
      <c r="HU28" s="185"/>
      <c r="HV28" s="185"/>
      <c r="HW28" s="185"/>
      <c r="HX28" s="185"/>
      <c r="HY28" s="185"/>
      <c r="HZ28" s="185"/>
      <c r="IA28" s="185"/>
      <c r="IB28" s="185"/>
      <c r="IC28" s="185"/>
      <c r="ID28" s="185"/>
      <c r="IE28" s="185"/>
      <c r="IF28" s="185"/>
      <c r="IG28" s="185"/>
      <c r="IH28" s="185"/>
      <c r="II28" s="185"/>
      <c r="IJ28" s="185"/>
      <c r="IK28" s="185"/>
      <c r="IL28" s="185"/>
      <c r="IM28" s="185"/>
      <c r="IN28" s="185"/>
      <c r="IO28" s="185"/>
      <c r="IP28" s="185"/>
      <c r="IQ28" s="185"/>
      <c r="IR28" s="185"/>
      <c r="IS28" s="185"/>
      <c r="IT28" s="185"/>
      <c r="IU28" s="185"/>
    </row>
    <row r="29" spans="1:255" s="43" customFormat="1" ht="24" x14ac:dyDescent="0.2">
      <c r="A29" s="192">
        <v>7</v>
      </c>
      <c r="B29" s="193" t="s">
        <v>268</v>
      </c>
      <c r="C29" s="193" t="s">
        <v>270</v>
      </c>
      <c r="D29" s="193" t="s">
        <v>266</v>
      </c>
      <c r="E29" s="194">
        <f>ROUND(O29,3)</f>
        <v>63.976999999999997</v>
      </c>
      <c r="F29" s="195">
        <f>ROUND( 2.07 * 12.77, 2 )</f>
        <v>26.43</v>
      </c>
      <c r="G29" s="195">
        <f>ROUND(E29*F29,2)</f>
        <v>1690.91</v>
      </c>
      <c r="H29" s="199" t="s">
        <v>478</v>
      </c>
      <c r="I29" s="199" t="s">
        <v>459</v>
      </c>
      <c r="N29" s="185"/>
      <c r="O29" s="185">
        <f>SUM(P29:IV29)</f>
        <v>63.977269999999997</v>
      </c>
      <c r="P29" s="185">
        <f>SmtRes!CX37</f>
        <v>17.984629999999999</v>
      </c>
      <c r="Q29" s="185">
        <f>SmtRes!CX55</f>
        <v>27.124359999999999</v>
      </c>
      <c r="R29" s="185">
        <f>SmtRes!CX85</f>
        <v>18.868279999999999</v>
      </c>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V29" s="185"/>
      <c r="DW29" s="185"/>
      <c r="DX29" s="185"/>
      <c r="DY29" s="185"/>
      <c r="DZ29" s="185"/>
      <c r="EA29" s="185"/>
      <c r="EB29" s="185"/>
      <c r="EC29" s="185"/>
      <c r="ED29" s="185"/>
      <c r="EE29" s="185"/>
      <c r="EF29" s="185"/>
      <c r="EG29" s="185"/>
      <c r="EH29" s="185"/>
      <c r="EI29" s="185"/>
      <c r="EJ29" s="185"/>
      <c r="EK29" s="185"/>
      <c r="EL29" s="185"/>
      <c r="EM29" s="185"/>
      <c r="EN29" s="185"/>
      <c r="EO29" s="185"/>
      <c r="EP29" s="185"/>
      <c r="EQ29" s="185"/>
      <c r="ER29" s="185"/>
      <c r="ES29" s="185"/>
      <c r="ET29" s="185"/>
      <c r="EU29" s="185"/>
      <c r="EV29" s="185"/>
      <c r="EW29" s="185"/>
      <c r="EX29" s="185"/>
      <c r="EY29" s="185"/>
      <c r="EZ29" s="185"/>
      <c r="FA29" s="185"/>
      <c r="FB29" s="185"/>
      <c r="FC29" s="185"/>
      <c r="FD29" s="185"/>
      <c r="FE29" s="185"/>
      <c r="FF29" s="185"/>
      <c r="FG29" s="185"/>
      <c r="FH29" s="185"/>
      <c r="FI29" s="185"/>
      <c r="FJ29" s="185"/>
      <c r="FK29" s="185"/>
      <c r="FL29" s="185"/>
      <c r="FM29" s="185"/>
      <c r="FN29" s="185"/>
      <c r="FO29" s="185"/>
      <c r="FP29" s="185"/>
      <c r="FQ29" s="185"/>
      <c r="FR29" s="185"/>
      <c r="FS29" s="185"/>
      <c r="FT29" s="185"/>
      <c r="FU29" s="185"/>
      <c r="FV29" s="185"/>
      <c r="FW29" s="185"/>
      <c r="FX29" s="185"/>
      <c r="FY29" s="185"/>
      <c r="FZ29" s="185"/>
      <c r="GA29" s="185"/>
      <c r="GB29" s="185"/>
      <c r="GC29" s="185"/>
      <c r="GD29" s="185"/>
      <c r="GE29" s="185"/>
      <c r="GF29" s="185"/>
      <c r="GG29" s="185"/>
      <c r="GH29" s="185"/>
      <c r="GI29" s="185"/>
      <c r="GJ29" s="185"/>
      <c r="GK29" s="185"/>
      <c r="GL29" s="185"/>
      <c r="GM29" s="185"/>
      <c r="GN29" s="185"/>
      <c r="GO29" s="185"/>
      <c r="GP29" s="185"/>
      <c r="GQ29" s="185"/>
      <c r="GR29" s="185"/>
      <c r="GS29" s="185"/>
      <c r="GT29" s="185"/>
      <c r="GU29" s="185"/>
      <c r="GV29" s="185"/>
      <c r="GW29" s="185"/>
      <c r="GX29" s="185"/>
      <c r="GY29" s="185"/>
      <c r="GZ29" s="185"/>
      <c r="HA29" s="185"/>
      <c r="HB29" s="185"/>
      <c r="HC29" s="185"/>
      <c r="HD29" s="185"/>
      <c r="HE29" s="185"/>
      <c r="HF29" s="185"/>
      <c r="HG29" s="185"/>
      <c r="HH29" s="185"/>
      <c r="HI29" s="185"/>
      <c r="HJ29" s="185"/>
      <c r="HK29" s="185"/>
      <c r="HL29" s="185"/>
      <c r="HM29" s="185"/>
      <c r="HN29" s="185"/>
      <c r="HO29" s="185"/>
      <c r="HP29" s="185"/>
      <c r="HQ29" s="185"/>
      <c r="HR29" s="185"/>
      <c r="HS29" s="185"/>
      <c r="HT29" s="185"/>
      <c r="HU29" s="185"/>
      <c r="HV29" s="185"/>
      <c r="HW29" s="185"/>
      <c r="HX29" s="185"/>
      <c r="HY29" s="185"/>
      <c r="HZ29" s="185"/>
      <c r="IA29" s="185"/>
      <c r="IB29" s="185"/>
      <c r="IC29" s="185"/>
      <c r="ID29" s="185"/>
      <c r="IE29" s="185"/>
      <c r="IF29" s="185"/>
      <c r="IG29" s="185"/>
      <c r="IH29" s="185"/>
      <c r="II29" s="185"/>
      <c r="IJ29" s="185"/>
      <c r="IK29" s="185"/>
      <c r="IL29" s="185"/>
      <c r="IM29" s="185"/>
      <c r="IN29" s="185"/>
      <c r="IO29" s="185"/>
      <c r="IP29" s="185"/>
      <c r="IQ29" s="185"/>
      <c r="IR29" s="185"/>
      <c r="IS29" s="185"/>
      <c r="IT29" s="185"/>
      <c r="IU29" s="185"/>
    </row>
    <row r="30" spans="1:255" s="43" customFormat="1" ht="24" x14ac:dyDescent="0.2">
      <c r="A30" s="192">
        <v>8</v>
      </c>
      <c r="B30" s="193" t="s">
        <v>256</v>
      </c>
      <c r="C30" s="193" t="s">
        <v>272</v>
      </c>
      <c r="D30" s="193" t="s">
        <v>266</v>
      </c>
      <c r="E30" s="194">
        <f>ROUND(O30,3)</f>
        <v>4.7690000000000001</v>
      </c>
      <c r="F30" s="195">
        <f>ROUND( 85.94 * 12.77, 2 )</f>
        <v>1097.45</v>
      </c>
      <c r="G30" s="195">
        <f>ROUND(E30*F30,2)</f>
        <v>5233.74</v>
      </c>
      <c r="H30" s="199" t="s">
        <v>479</v>
      </c>
      <c r="I30" s="199" t="s">
        <v>459</v>
      </c>
      <c r="N30" s="185"/>
      <c r="O30" s="185">
        <f>SUM(P30:IV30)</f>
        <v>4.7684999999999995</v>
      </c>
      <c r="P30" s="185">
        <f>SmtRes!CX38</f>
        <v>1.76898</v>
      </c>
      <c r="Q30" s="185">
        <f>SmtRes!CX56</f>
        <v>1.76898</v>
      </c>
      <c r="R30" s="185">
        <f>SmtRes!CX86</f>
        <v>1.23054</v>
      </c>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V30" s="185"/>
      <c r="DW30" s="185"/>
      <c r="DX30" s="185"/>
      <c r="DY30" s="185"/>
      <c r="DZ30" s="185"/>
      <c r="EA30" s="185"/>
      <c r="EB30" s="185"/>
      <c r="EC30" s="185"/>
      <c r="ED30" s="185"/>
      <c r="EE30" s="185"/>
      <c r="EF30" s="185"/>
      <c r="EG30" s="185"/>
      <c r="EH30" s="185"/>
      <c r="EI30" s="185"/>
      <c r="EJ30" s="185"/>
      <c r="EK30" s="185"/>
      <c r="EL30" s="185"/>
      <c r="EM30" s="185"/>
      <c r="EN30" s="185"/>
      <c r="EO30" s="185"/>
      <c r="EP30" s="185"/>
      <c r="EQ30" s="185"/>
      <c r="ER30" s="185"/>
      <c r="ES30" s="185"/>
      <c r="ET30" s="185"/>
      <c r="EU30" s="185"/>
      <c r="EV30" s="185"/>
      <c r="EW30" s="185"/>
      <c r="EX30" s="185"/>
      <c r="EY30" s="185"/>
      <c r="EZ30" s="185"/>
      <c r="FA30" s="185"/>
      <c r="FB30" s="185"/>
      <c r="FC30" s="185"/>
      <c r="FD30" s="185"/>
      <c r="FE30" s="185"/>
      <c r="FF30" s="185"/>
      <c r="FG30" s="185"/>
      <c r="FH30" s="185"/>
      <c r="FI30" s="185"/>
      <c r="FJ30" s="185"/>
      <c r="FK30" s="185"/>
      <c r="FL30" s="185"/>
      <c r="FM30" s="185"/>
      <c r="FN30" s="185"/>
      <c r="FO30" s="185"/>
      <c r="FP30" s="185"/>
      <c r="FQ30" s="185"/>
      <c r="FR30" s="185"/>
      <c r="FS30" s="185"/>
      <c r="FT30" s="185"/>
      <c r="FU30" s="185"/>
      <c r="FV30" s="185"/>
      <c r="FW30" s="185"/>
      <c r="FX30" s="185"/>
      <c r="FY30" s="185"/>
      <c r="FZ30" s="185"/>
      <c r="GA30" s="185"/>
      <c r="GB30" s="185"/>
      <c r="GC30" s="185"/>
      <c r="GD30" s="185"/>
      <c r="GE30" s="185"/>
      <c r="GF30" s="185"/>
      <c r="GG30" s="185"/>
      <c r="GH30" s="185"/>
      <c r="GI30" s="185"/>
      <c r="GJ30" s="185"/>
      <c r="GK30" s="185"/>
      <c r="GL30" s="185"/>
      <c r="GM30" s="185"/>
      <c r="GN30" s="185"/>
      <c r="GO30" s="185"/>
      <c r="GP30" s="185"/>
      <c r="GQ30" s="185"/>
      <c r="GR30" s="185"/>
      <c r="GS30" s="185"/>
      <c r="GT30" s="185"/>
      <c r="GU30" s="185"/>
      <c r="GV30" s="185"/>
      <c r="GW30" s="185"/>
      <c r="GX30" s="185"/>
      <c r="GY30" s="185"/>
      <c r="GZ30" s="185"/>
      <c r="HA30" s="185"/>
      <c r="HB30" s="185"/>
      <c r="HC30" s="185"/>
      <c r="HD30" s="185"/>
      <c r="HE30" s="185"/>
      <c r="HF30" s="185"/>
      <c r="HG30" s="185"/>
      <c r="HH30" s="185"/>
      <c r="HI30" s="185"/>
      <c r="HJ30" s="185"/>
      <c r="HK30" s="185"/>
      <c r="HL30" s="185"/>
      <c r="HM30" s="185"/>
      <c r="HN30" s="185"/>
      <c r="HO30" s="185"/>
      <c r="HP30" s="185"/>
      <c r="HQ30" s="185"/>
      <c r="HR30" s="185"/>
      <c r="HS30" s="185"/>
      <c r="HT30" s="185"/>
      <c r="HU30" s="185"/>
      <c r="HV30" s="185"/>
      <c r="HW30" s="185"/>
      <c r="HX30" s="185"/>
      <c r="HY30" s="185"/>
      <c r="HZ30" s="185"/>
      <c r="IA30" s="185"/>
      <c r="IB30" s="185"/>
      <c r="IC30" s="185"/>
      <c r="ID30" s="185"/>
      <c r="IE30" s="185"/>
      <c r="IF30" s="185"/>
      <c r="IG30" s="185"/>
      <c r="IH30" s="185"/>
      <c r="II30" s="185"/>
      <c r="IJ30" s="185"/>
      <c r="IK30" s="185"/>
      <c r="IL30" s="185"/>
      <c r="IM30" s="185"/>
      <c r="IN30" s="185"/>
      <c r="IO30" s="185"/>
      <c r="IP30" s="185"/>
      <c r="IQ30" s="185"/>
      <c r="IR30" s="185"/>
      <c r="IS30" s="185"/>
      <c r="IT30" s="185"/>
      <c r="IU30" s="185"/>
    </row>
    <row r="31" spans="1:255" s="43" customFormat="1" ht="24" x14ac:dyDescent="0.2">
      <c r="A31" s="192">
        <v>9</v>
      </c>
      <c r="B31" s="193" t="s">
        <v>256</v>
      </c>
      <c r="C31" s="193" t="s">
        <v>258</v>
      </c>
      <c r="D31" s="193" t="s">
        <v>255</v>
      </c>
      <c r="E31" s="194">
        <f>ROUND(O31,3)</f>
        <v>0.76800000000000002</v>
      </c>
      <c r="F31" s="195">
        <f>ROUND( 93.37 * 12.77, 2 )</f>
        <v>1192.33</v>
      </c>
      <c r="G31" s="195">
        <f>ROUND(E31*F31,2)</f>
        <v>915.71</v>
      </c>
      <c r="H31" s="199" t="s">
        <v>476</v>
      </c>
      <c r="I31" s="199" t="s">
        <v>459</v>
      </c>
      <c r="N31" s="185"/>
      <c r="O31" s="185">
        <f>SUM(P31:IV31)</f>
        <v>0.76814000000000004</v>
      </c>
      <c r="P31" s="185">
        <f>SmtRes!CX10</f>
        <v>0.19164</v>
      </c>
      <c r="Q31" s="185">
        <f>SmtRes!CX22</f>
        <v>0.27712999999999999</v>
      </c>
      <c r="R31" s="185">
        <f>SmtRes!CX70</f>
        <v>0.20508999999999999</v>
      </c>
      <c r="S31" s="185">
        <f>SmtRes!CX100</f>
        <v>9.4280000000000003E-2</v>
      </c>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V31" s="185"/>
      <c r="DW31" s="185"/>
      <c r="DX31" s="185"/>
      <c r="DY31" s="185"/>
      <c r="DZ31" s="185"/>
      <c r="EA31" s="185"/>
      <c r="EB31" s="185"/>
      <c r="EC31" s="185"/>
      <c r="ED31" s="185"/>
      <c r="EE31" s="185"/>
      <c r="EF31" s="185"/>
      <c r="EG31" s="185"/>
      <c r="EH31" s="185"/>
      <c r="EI31" s="185"/>
      <c r="EJ31" s="185"/>
      <c r="EK31" s="185"/>
      <c r="EL31" s="185"/>
      <c r="EM31" s="185"/>
      <c r="EN31" s="185"/>
      <c r="EO31" s="185"/>
      <c r="EP31" s="185"/>
      <c r="EQ31" s="185"/>
      <c r="ER31" s="185"/>
      <c r="ES31" s="185"/>
      <c r="ET31" s="185"/>
      <c r="EU31" s="185"/>
      <c r="EV31" s="185"/>
      <c r="EW31" s="185"/>
      <c r="EX31" s="185"/>
      <c r="EY31" s="185"/>
      <c r="EZ31" s="185"/>
      <c r="FA31" s="185"/>
      <c r="FB31" s="185"/>
      <c r="FC31" s="185"/>
      <c r="FD31" s="185"/>
      <c r="FE31" s="185"/>
      <c r="FF31" s="185"/>
      <c r="FG31" s="185"/>
      <c r="FH31" s="185"/>
      <c r="FI31" s="185"/>
      <c r="FJ31" s="185"/>
      <c r="FK31" s="185"/>
      <c r="FL31" s="185"/>
      <c r="FM31" s="185"/>
      <c r="FN31" s="185"/>
      <c r="FO31" s="185"/>
      <c r="FP31" s="185"/>
      <c r="FQ31" s="185"/>
      <c r="FR31" s="185"/>
      <c r="FS31" s="185"/>
      <c r="FT31" s="185"/>
      <c r="FU31" s="185"/>
      <c r="FV31" s="185"/>
      <c r="FW31" s="185"/>
      <c r="FX31" s="185"/>
      <c r="FY31" s="185"/>
      <c r="FZ31" s="185"/>
      <c r="GA31" s="185"/>
      <c r="GB31" s="185"/>
      <c r="GC31" s="185"/>
      <c r="GD31" s="185"/>
      <c r="GE31" s="185"/>
      <c r="GF31" s="185"/>
      <c r="GG31" s="185"/>
      <c r="GH31" s="185"/>
      <c r="GI31" s="185"/>
      <c r="GJ31" s="185"/>
      <c r="GK31" s="185"/>
      <c r="GL31" s="185"/>
      <c r="GM31" s="185"/>
      <c r="GN31" s="185"/>
      <c r="GO31" s="185"/>
      <c r="GP31" s="185"/>
      <c r="GQ31" s="185"/>
      <c r="GR31" s="185"/>
      <c r="GS31" s="185"/>
      <c r="GT31" s="185"/>
      <c r="GU31" s="185"/>
      <c r="GV31" s="185"/>
      <c r="GW31" s="185"/>
      <c r="GX31" s="185"/>
      <c r="GY31" s="185"/>
      <c r="GZ31" s="185"/>
      <c r="HA31" s="185"/>
      <c r="HB31" s="185"/>
      <c r="HC31" s="185"/>
      <c r="HD31" s="185"/>
      <c r="HE31" s="185"/>
      <c r="HF31" s="185"/>
      <c r="HG31" s="185"/>
      <c r="HH31" s="185"/>
      <c r="HI31" s="185"/>
      <c r="HJ31" s="185"/>
      <c r="HK31" s="185"/>
      <c r="HL31" s="185"/>
      <c r="HM31" s="185"/>
      <c r="HN31" s="185"/>
      <c r="HO31" s="185"/>
      <c r="HP31" s="185"/>
      <c r="HQ31" s="185"/>
      <c r="HR31" s="185"/>
      <c r="HS31" s="185"/>
      <c r="HT31" s="185"/>
      <c r="HU31" s="185"/>
      <c r="HV31" s="185"/>
      <c r="HW31" s="185"/>
      <c r="HX31" s="185"/>
      <c r="HY31" s="185"/>
      <c r="HZ31" s="185"/>
      <c r="IA31" s="185"/>
      <c r="IB31" s="185"/>
      <c r="IC31" s="185"/>
      <c r="ID31" s="185"/>
      <c r="IE31" s="185"/>
      <c r="IF31" s="185"/>
      <c r="IG31" s="185"/>
      <c r="IH31" s="185"/>
      <c r="II31" s="185"/>
      <c r="IJ31" s="185"/>
      <c r="IK31" s="185"/>
      <c r="IL31" s="185"/>
      <c r="IM31" s="185"/>
      <c r="IN31" s="185"/>
      <c r="IO31" s="185"/>
      <c r="IP31" s="185"/>
      <c r="IQ31" s="185"/>
      <c r="IR31" s="185"/>
      <c r="IS31" s="185"/>
      <c r="IT31" s="185"/>
      <c r="IU31" s="185"/>
    </row>
    <row r="32" spans="1:255" x14ac:dyDescent="0.2">
      <c r="A32" s="188"/>
      <c r="B32" s="188"/>
      <c r="C32" s="189" t="s">
        <v>413</v>
      </c>
      <c r="D32" s="188"/>
      <c r="E32" s="188"/>
      <c r="F32" s="188"/>
      <c r="G32" s="190">
        <f>ROUND(SUM(G27:G31),2)</f>
        <v>9093.7099999999991</v>
      </c>
      <c r="H32" s="188"/>
      <c r="I32" s="188"/>
      <c r="J32" s="23"/>
      <c r="K32" s="23"/>
      <c r="L32" s="178">
        <f>G32</f>
        <v>9093.7099999999991</v>
      </c>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x14ac:dyDescent="0.2">
      <c r="A33" s="188"/>
      <c r="B33" s="188"/>
      <c r="C33" s="188"/>
      <c r="D33" s="188"/>
      <c r="E33" s="188"/>
      <c r="F33" s="188"/>
      <c r="G33" s="188"/>
      <c r="H33" s="188"/>
      <c r="I33" s="188"/>
    </row>
    <row r="34" spans="1:255" x14ac:dyDescent="0.2">
      <c r="A34" s="191"/>
      <c r="B34" s="191" t="s">
        <v>480</v>
      </c>
      <c r="C34" s="191"/>
      <c r="D34" s="191"/>
      <c r="E34" s="191"/>
      <c r="F34" s="191"/>
      <c r="G34" s="188"/>
      <c r="H34" s="188"/>
      <c r="I34" s="188"/>
    </row>
    <row r="35" spans="1:255" s="43" customFormat="1" ht="24" x14ac:dyDescent="0.2">
      <c r="A35" s="192">
        <v>10</v>
      </c>
      <c r="B35" s="193" t="s">
        <v>61</v>
      </c>
      <c r="C35" s="193" t="s">
        <v>62</v>
      </c>
      <c r="D35" s="193" t="s">
        <v>63</v>
      </c>
      <c r="E35" s="194">
        <f t="shared" ref="E35:E42" si="0">ROUND(O35,3)</f>
        <v>0.95399999999999996</v>
      </c>
      <c r="F35" s="195">
        <f>ROUND( 34.72 * 7.56, 2 )</f>
        <v>262.48</v>
      </c>
      <c r="G35" s="195">
        <f t="shared" ref="G35:G42" si="1">ROUND(E35*F35,2)</f>
        <v>250.41</v>
      </c>
      <c r="H35" s="196" t="s">
        <v>461</v>
      </c>
      <c r="I35" s="196" t="s">
        <v>459</v>
      </c>
      <c r="N35" s="185"/>
      <c r="O35" s="185">
        <f t="shared" ref="O35:O42" si="2">SUM(P35:IV35)</f>
        <v>0.95369999999999999</v>
      </c>
      <c r="P35" s="185">
        <f>Source!I42</f>
        <v>0.353796</v>
      </c>
      <c r="Q35" s="185">
        <f>Source!I52</f>
        <v>0.353796</v>
      </c>
      <c r="R35" s="185">
        <f>Source!I68</f>
        <v>0.24610800000000002</v>
      </c>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5"/>
      <c r="DV35" s="185"/>
      <c r="DW35" s="185"/>
      <c r="DX35" s="185"/>
      <c r="DY35" s="185"/>
      <c r="DZ35" s="185"/>
      <c r="EA35" s="185"/>
      <c r="EB35" s="185"/>
      <c r="EC35" s="185"/>
      <c r="ED35" s="185"/>
      <c r="EE35" s="185"/>
      <c r="EF35" s="185"/>
      <c r="EG35" s="185"/>
      <c r="EH35" s="185"/>
      <c r="EI35" s="185"/>
      <c r="EJ35" s="185"/>
      <c r="EK35" s="185"/>
      <c r="EL35" s="185"/>
      <c r="EM35" s="185"/>
      <c r="EN35" s="185"/>
      <c r="EO35" s="185"/>
      <c r="EP35" s="185"/>
      <c r="EQ35" s="185"/>
      <c r="ER35" s="185"/>
      <c r="ES35" s="185"/>
      <c r="ET35" s="185"/>
      <c r="EU35" s="185"/>
      <c r="EV35" s="185"/>
      <c r="EW35" s="185"/>
      <c r="EX35" s="185"/>
      <c r="EY35" s="185"/>
      <c r="EZ35" s="185"/>
      <c r="FA35" s="185"/>
      <c r="FB35" s="185"/>
      <c r="FC35" s="185"/>
      <c r="FD35" s="185"/>
      <c r="FE35" s="185"/>
      <c r="FF35" s="185"/>
      <c r="FG35" s="185"/>
      <c r="FH35" s="185"/>
      <c r="FI35" s="185"/>
      <c r="FJ35" s="185"/>
      <c r="FK35" s="185"/>
      <c r="FL35" s="185"/>
      <c r="FM35" s="185"/>
      <c r="FN35" s="185"/>
      <c r="FO35" s="185"/>
      <c r="FP35" s="185"/>
      <c r="FQ35" s="185"/>
      <c r="FR35" s="185"/>
      <c r="FS35" s="185"/>
      <c r="FT35" s="185"/>
      <c r="FU35" s="185"/>
      <c r="FV35" s="185"/>
      <c r="FW35" s="185"/>
      <c r="FX35" s="185"/>
      <c r="FY35" s="185"/>
      <c r="FZ35" s="185"/>
      <c r="GA35" s="185"/>
      <c r="GB35" s="185"/>
      <c r="GC35" s="185"/>
      <c r="GD35" s="185"/>
      <c r="GE35" s="185"/>
      <c r="GF35" s="185"/>
      <c r="GG35" s="185"/>
      <c r="GH35" s="185"/>
      <c r="GI35" s="185"/>
      <c r="GJ35" s="185"/>
      <c r="GK35" s="185"/>
      <c r="GL35" s="185"/>
      <c r="GM35" s="185"/>
      <c r="GN35" s="185"/>
      <c r="GO35" s="185"/>
      <c r="GP35" s="185"/>
      <c r="GQ35" s="185"/>
      <c r="GR35" s="185"/>
      <c r="GS35" s="185"/>
      <c r="GT35" s="185"/>
      <c r="GU35" s="185"/>
      <c r="GV35" s="185"/>
      <c r="GW35" s="185"/>
      <c r="GX35" s="185"/>
      <c r="GY35" s="185"/>
      <c r="GZ35" s="185"/>
      <c r="HA35" s="185"/>
      <c r="HB35" s="185"/>
      <c r="HC35" s="185"/>
      <c r="HD35" s="185"/>
      <c r="HE35" s="185"/>
      <c r="HF35" s="185"/>
      <c r="HG35" s="185"/>
      <c r="HH35" s="185"/>
      <c r="HI35" s="185"/>
      <c r="HJ35" s="185"/>
      <c r="HK35" s="185"/>
      <c r="HL35" s="185"/>
      <c r="HM35" s="185"/>
      <c r="HN35" s="185"/>
      <c r="HO35" s="185"/>
      <c r="HP35" s="185"/>
      <c r="HQ35" s="185"/>
      <c r="HR35" s="185"/>
      <c r="HS35" s="185"/>
      <c r="HT35" s="185"/>
      <c r="HU35" s="185"/>
      <c r="HV35" s="185"/>
      <c r="HW35" s="185"/>
      <c r="HX35" s="185"/>
      <c r="HY35" s="185"/>
      <c r="HZ35" s="185"/>
      <c r="IA35" s="185"/>
      <c r="IB35" s="185"/>
      <c r="IC35" s="185"/>
      <c r="ID35" s="185"/>
      <c r="IE35" s="185"/>
      <c r="IF35" s="185"/>
      <c r="IG35" s="185"/>
      <c r="IH35" s="185"/>
      <c r="II35" s="185"/>
      <c r="IJ35" s="185"/>
      <c r="IK35" s="185"/>
      <c r="IL35" s="185"/>
      <c r="IM35" s="185"/>
      <c r="IN35" s="185"/>
      <c r="IO35" s="185"/>
      <c r="IP35" s="185"/>
      <c r="IQ35" s="185"/>
      <c r="IR35" s="185"/>
      <c r="IS35" s="185"/>
      <c r="IT35" s="185"/>
      <c r="IU35" s="185"/>
    </row>
    <row r="36" spans="1:255" s="43" customFormat="1" ht="24" x14ac:dyDescent="0.2">
      <c r="A36" s="192">
        <v>11</v>
      </c>
      <c r="B36" s="193" t="s">
        <v>67</v>
      </c>
      <c r="C36" s="193" t="s">
        <v>68</v>
      </c>
      <c r="D36" s="193" t="s">
        <v>44</v>
      </c>
      <c r="E36" s="194">
        <f t="shared" si="0"/>
        <v>1.5629999999999999</v>
      </c>
      <c r="F36" s="195">
        <f>ROUND( 2150.47 * 7.56, 2 )</f>
        <v>16257.55</v>
      </c>
      <c r="G36" s="195">
        <f t="shared" si="1"/>
        <v>25410.55</v>
      </c>
      <c r="H36" s="196" t="s">
        <v>462</v>
      </c>
      <c r="I36" s="196" t="s">
        <v>459</v>
      </c>
      <c r="N36" s="185"/>
      <c r="O36" s="185">
        <f t="shared" si="2"/>
        <v>1.5625990000000001</v>
      </c>
      <c r="P36" s="185">
        <f>Source!I44</f>
        <v>1.5625990000000001</v>
      </c>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5"/>
      <c r="CZ36" s="185"/>
      <c r="DA36" s="185"/>
      <c r="DB36" s="185"/>
      <c r="DC36" s="185"/>
      <c r="DD36" s="185"/>
      <c r="DE36" s="185"/>
      <c r="DF36" s="185"/>
      <c r="DG36" s="185"/>
      <c r="DH36" s="185"/>
      <c r="DI36" s="185"/>
      <c r="DJ36" s="185"/>
      <c r="DK36" s="185"/>
      <c r="DL36" s="185"/>
      <c r="DM36" s="185"/>
      <c r="DN36" s="185"/>
      <c r="DO36" s="185"/>
      <c r="DP36" s="185"/>
      <c r="DQ36" s="185"/>
      <c r="DR36" s="185"/>
      <c r="DS36" s="185"/>
      <c r="DT36" s="185"/>
      <c r="DU36" s="185"/>
      <c r="DV36" s="185"/>
      <c r="DW36" s="185"/>
      <c r="DX36" s="185"/>
      <c r="DY36" s="185"/>
      <c r="DZ36" s="185"/>
      <c r="EA36" s="185"/>
      <c r="EB36" s="185"/>
      <c r="EC36" s="185"/>
      <c r="ED36" s="185"/>
      <c r="EE36" s="185"/>
      <c r="EF36" s="185"/>
      <c r="EG36" s="185"/>
      <c r="EH36" s="185"/>
      <c r="EI36" s="185"/>
      <c r="EJ36" s="185"/>
      <c r="EK36" s="185"/>
      <c r="EL36" s="185"/>
      <c r="EM36" s="185"/>
      <c r="EN36" s="185"/>
      <c r="EO36" s="185"/>
      <c r="EP36" s="185"/>
      <c r="EQ36" s="185"/>
      <c r="ER36" s="185"/>
      <c r="ES36" s="185"/>
      <c r="ET36" s="185"/>
      <c r="EU36" s="185"/>
      <c r="EV36" s="185"/>
      <c r="EW36" s="185"/>
      <c r="EX36" s="185"/>
      <c r="EY36" s="185"/>
      <c r="EZ36" s="185"/>
      <c r="FA36" s="185"/>
      <c r="FB36" s="185"/>
      <c r="FC36" s="185"/>
      <c r="FD36" s="185"/>
      <c r="FE36" s="185"/>
      <c r="FF36" s="185"/>
      <c r="FG36" s="185"/>
      <c r="FH36" s="185"/>
      <c r="FI36" s="185"/>
      <c r="FJ36" s="185"/>
      <c r="FK36" s="185"/>
      <c r="FL36" s="185"/>
      <c r="FM36" s="185"/>
      <c r="FN36" s="185"/>
      <c r="FO36" s="185"/>
      <c r="FP36" s="185"/>
      <c r="FQ36" s="185"/>
      <c r="FR36" s="185"/>
      <c r="FS36" s="185"/>
      <c r="FT36" s="185"/>
      <c r="FU36" s="185"/>
      <c r="FV36" s="185"/>
      <c r="FW36" s="185"/>
      <c r="FX36" s="185"/>
      <c r="FY36" s="185"/>
      <c r="FZ36" s="185"/>
      <c r="GA36" s="185"/>
      <c r="GB36" s="185"/>
      <c r="GC36" s="185"/>
      <c r="GD36" s="185"/>
      <c r="GE36" s="185"/>
      <c r="GF36" s="185"/>
      <c r="GG36" s="185"/>
      <c r="GH36" s="185"/>
      <c r="GI36" s="185"/>
      <c r="GJ36" s="185"/>
      <c r="GK36" s="185"/>
      <c r="GL36" s="185"/>
      <c r="GM36" s="185"/>
      <c r="GN36" s="185"/>
      <c r="GO36" s="185"/>
      <c r="GP36" s="185"/>
      <c r="GQ36" s="185"/>
      <c r="GR36" s="185"/>
      <c r="GS36" s="185"/>
      <c r="GT36" s="185"/>
      <c r="GU36" s="185"/>
      <c r="GV36" s="185"/>
      <c r="GW36" s="185"/>
      <c r="GX36" s="185"/>
      <c r="GY36" s="185"/>
      <c r="GZ36" s="185"/>
      <c r="HA36" s="185"/>
      <c r="HB36" s="185"/>
      <c r="HC36" s="185"/>
      <c r="HD36" s="185"/>
      <c r="HE36" s="185"/>
      <c r="HF36" s="185"/>
      <c r="HG36" s="185"/>
      <c r="HH36" s="185"/>
      <c r="HI36" s="185"/>
      <c r="HJ36" s="185"/>
      <c r="HK36" s="185"/>
      <c r="HL36" s="185"/>
      <c r="HM36" s="185"/>
      <c r="HN36" s="185"/>
      <c r="HO36" s="185"/>
      <c r="HP36" s="185"/>
      <c r="HQ36" s="185"/>
      <c r="HR36" s="185"/>
      <c r="HS36" s="185"/>
      <c r="HT36" s="185"/>
      <c r="HU36" s="185"/>
      <c r="HV36" s="185"/>
      <c r="HW36" s="185"/>
      <c r="HX36" s="185"/>
      <c r="HY36" s="185"/>
      <c r="HZ36" s="185"/>
      <c r="IA36" s="185"/>
      <c r="IB36" s="185"/>
      <c r="IC36" s="185"/>
      <c r="ID36" s="185"/>
      <c r="IE36" s="185"/>
      <c r="IF36" s="185"/>
      <c r="IG36" s="185"/>
      <c r="IH36" s="185"/>
      <c r="II36" s="185"/>
      <c r="IJ36" s="185"/>
      <c r="IK36" s="185"/>
      <c r="IL36" s="185"/>
      <c r="IM36" s="185"/>
      <c r="IN36" s="185"/>
      <c r="IO36" s="185"/>
      <c r="IP36" s="185"/>
      <c r="IQ36" s="185"/>
      <c r="IR36" s="185"/>
      <c r="IS36" s="185"/>
      <c r="IT36" s="185"/>
      <c r="IU36" s="185"/>
    </row>
    <row r="37" spans="1:255" s="43" customFormat="1" ht="24" x14ac:dyDescent="0.2">
      <c r="A37" s="192">
        <v>12</v>
      </c>
      <c r="B37" s="193" t="s">
        <v>84</v>
      </c>
      <c r="C37" s="193" t="s">
        <v>85</v>
      </c>
      <c r="D37" s="193" t="s">
        <v>44</v>
      </c>
      <c r="E37" s="194">
        <f t="shared" si="0"/>
        <v>2.0150000000000001</v>
      </c>
      <c r="F37" s="195">
        <f>ROUND( 2352.38 * 7.56, 2 )</f>
        <v>17783.990000000002</v>
      </c>
      <c r="G37" s="195">
        <f t="shared" si="1"/>
        <v>35834.74</v>
      </c>
      <c r="H37" s="196" t="s">
        <v>464</v>
      </c>
      <c r="I37" s="196" t="s">
        <v>459</v>
      </c>
      <c r="N37" s="185"/>
      <c r="O37" s="185">
        <f t="shared" si="2"/>
        <v>2.014678</v>
      </c>
      <c r="P37" s="185">
        <f>Source!I54</f>
        <v>1.1881649999999999</v>
      </c>
      <c r="Q37" s="185">
        <f>Source!I70</f>
        <v>0.82651300000000005</v>
      </c>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5"/>
      <c r="CL37" s="185"/>
      <c r="CM37" s="185"/>
      <c r="CN37" s="185"/>
      <c r="CO37" s="185"/>
      <c r="CP37" s="185"/>
      <c r="CQ37" s="185"/>
      <c r="CR37" s="185"/>
      <c r="CS37" s="185"/>
      <c r="CT37" s="185"/>
      <c r="CU37" s="185"/>
      <c r="CV37" s="185"/>
      <c r="CW37" s="185"/>
      <c r="CX37" s="185"/>
      <c r="CY37" s="185"/>
      <c r="CZ37" s="185"/>
      <c r="DA37" s="185"/>
      <c r="DB37" s="185"/>
      <c r="DC37" s="185"/>
      <c r="DD37" s="185"/>
      <c r="DE37" s="185"/>
      <c r="DF37" s="185"/>
      <c r="DG37" s="185"/>
      <c r="DH37" s="185"/>
      <c r="DI37" s="185"/>
      <c r="DJ37" s="185"/>
      <c r="DK37" s="185"/>
      <c r="DL37" s="185"/>
      <c r="DM37" s="185"/>
      <c r="DN37" s="185"/>
      <c r="DO37" s="185"/>
      <c r="DP37" s="185"/>
      <c r="DQ37" s="185"/>
      <c r="DR37" s="185"/>
      <c r="DS37" s="185"/>
      <c r="DT37" s="185"/>
      <c r="DU37" s="185"/>
      <c r="DV37" s="185"/>
      <c r="DW37" s="185"/>
      <c r="DX37" s="185"/>
      <c r="DY37" s="185"/>
      <c r="DZ37" s="185"/>
      <c r="EA37" s="185"/>
      <c r="EB37" s="185"/>
      <c r="EC37" s="185"/>
      <c r="ED37" s="185"/>
      <c r="EE37" s="185"/>
      <c r="EF37" s="185"/>
      <c r="EG37" s="185"/>
      <c r="EH37" s="185"/>
      <c r="EI37" s="185"/>
      <c r="EJ37" s="185"/>
      <c r="EK37" s="185"/>
      <c r="EL37" s="185"/>
      <c r="EM37" s="185"/>
      <c r="EN37" s="185"/>
      <c r="EO37" s="185"/>
      <c r="EP37" s="185"/>
      <c r="EQ37" s="185"/>
      <c r="ER37" s="185"/>
      <c r="ES37" s="185"/>
      <c r="ET37" s="185"/>
      <c r="EU37" s="185"/>
      <c r="EV37" s="185"/>
      <c r="EW37" s="185"/>
      <c r="EX37" s="185"/>
      <c r="EY37" s="185"/>
      <c r="EZ37" s="185"/>
      <c r="FA37" s="185"/>
      <c r="FB37" s="185"/>
      <c r="FC37" s="185"/>
      <c r="FD37" s="185"/>
      <c r="FE37" s="185"/>
      <c r="FF37" s="185"/>
      <c r="FG37" s="185"/>
      <c r="FH37" s="185"/>
      <c r="FI37" s="185"/>
      <c r="FJ37" s="185"/>
      <c r="FK37" s="185"/>
      <c r="FL37" s="185"/>
      <c r="FM37" s="185"/>
      <c r="FN37" s="185"/>
      <c r="FO37" s="185"/>
      <c r="FP37" s="185"/>
      <c r="FQ37" s="185"/>
      <c r="FR37" s="185"/>
      <c r="FS37" s="185"/>
      <c r="FT37" s="185"/>
      <c r="FU37" s="185"/>
      <c r="FV37" s="185"/>
      <c r="FW37" s="185"/>
      <c r="FX37" s="185"/>
      <c r="FY37" s="185"/>
      <c r="FZ37" s="185"/>
      <c r="GA37" s="185"/>
      <c r="GB37" s="185"/>
      <c r="GC37" s="185"/>
      <c r="GD37" s="185"/>
      <c r="GE37" s="185"/>
      <c r="GF37" s="185"/>
      <c r="GG37" s="185"/>
      <c r="GH37" s="185"/>
      <c r="GI37" s="185"/>
      <c r="GJ37" s="185"/>
      <c r="GK37" s="185"/>
      <c r="GL37" s="185"/>
      <c r="GM37" s="185"/>
      <c r="GN37" s="185"/>
      <c r="GO37" s="185"/>
      <c r="GP37" s="185"/>
      <c r="GQ37" s="185"/>
      <c r="GR37" s="185"/>
      <c r="GS37" s="185"/>
      <c r="GT37" s="185"/>
      <c r="GU37" s="185"/>
      <c r="GV37" s="185"/>
      <c r="GW37" s="185"/>
      <c r="GX37" s="185"/>
      <c r="GY37" s="185"/>
      <c r="GZ37" s="185"/>
      <c r="HA37" s="185"/>
      <c r="HB37" s="185"/>
      <c r="HC37" s="185"/>
      <c r="HD37" s="185"/>
      <c r="HE37" s="185"/>
      <c r="HF37" s="185"/>
      <c r="HG37" s="185"/>
      <c r="HH37" s="185"/>
      <c r="HI37" s="185"/>
      <c r="HJ37" s="185"/>
      <c r="HK37" s="185"/>
      <c r="HL37" s="185"/>
      <c r="HM37" s="185"/>
      <c r="HN37" s="185"/>
      <c r="HO37" s="185"/>
      <c r="HP37" s="185"/>
      <c r="HQ37" s="185"/>
      <c r="HR37" s="185"/>
      <c r="HS37" s="185"/>
      <c r="HT37" s="185"/>
      <c r="HU37" s="185"/>
      <c r="HV37" s="185"/>
      <c r="HW37" s="185"/>
      <c r="HX37" s="185"/>
      <c r="HY37" s="185"/>
      <c r="HZ37" s="185"/>
      <c r="IA37" s="185"/>
      <c r="IB37" s="185"/>
      <c r="IC37" s="185"/>
      <c r="ID37" s="185"/>
      <c r="IE37" s="185"/>
      <c r="IF37" s="185"/>
      <c r="IG37" s="185"/>
      <c r="IH37" s="185"/>
      <c r="II37" s="185"/>
      <c r="IJ37" s="185"/>
      <c r="IK37" s="185"/>
      <c r="IL37" s="185"/>
      <c r="IM37" s="185"/>
      <c r="IN37" s="185"/>
      <c r="IO37" s="185"/>
      <c r="IP37" s="185"/>
      <c r="IQ37" s="185"/>
      <c r="IR37" s="185"/>
      <c r="IS37" s="185"/>
      <c r="IT37" s="185"/>
      <c r="IU37" s="185"/>
    </row>
    <row r="38" spans="1:255" s="43" customFormat="1" ht="24" x14ac:dyDescent="0.2">
      <c r="A38" s="192">
        <v>13</v>
      </c>
      <c r="B38" s="193" t="s">
        <v>31</v>
      </c>
      <c r="C38" s="193" t="s">
        <v>32</v>
      </c>
      <c r="D38" s="193" t="s">
        <v>33</v>
      </c>
      <c r="E38" s="194">
        <f t="shared" si="0"/>
        <v>17.103000000000002</v>
      </c>
      <c r="F38" s="195">
        <f>ROUND( 4.28 * 7.56, 2 )</f>
        <v>32.36</v>
      </c>
      <c r="G38" s="195">
        <f t="shared" si="1"/>
        <v>553.45000000000005</v>
      </c>
      <c r="H38" s="196" t="s">
        <v>458</v>
      </c>
      <c r="I38" s="196" t="s">
        <v>459</v>
      </c>
      <c r="N38" s="185"/>
      <c r="O38" s="185">
        <f t="shared" si="2"/>
        <v>17.10305</v>
      </c>
      <c r="P38" s="185">
        <f>Source!I29</f>
        <v>1.9163999999999999</v>
      </c>
      <c r="Q38" s="185">
        <f>Source!I36</f>
        <v>2.7713000000000001</v>
      </c>
      <c r="R38" s="185">
        <f>Source!I46</f>
        <v>4.4224500000000004</v>
      </c>
      <c r="S38" s="185">
        <f>Source!I56</f>
        <v>2.9483000000000001</v>
      </c>
      <c r="T38" s="185">
        <f>Source!I62</f>
        <v>2.0508999999999999</v>
      </c>
      <c r="U38" s="185">
        <f>Source!I72</f>
        <v>2.0508999999999999</v>
      </c>
      <c r="V38" s="185">
        <f>Source!I78</f>
        <v>0.94279999999999997</v>
      </c>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c r="CK38" s="185"/>
      <c r="CL38" s="185"/>
      <c r="CM38" s="185"/>
      <c r="CN38" s="185"/>
      <c r="CO38" s="185"/>
      <c r="CP38" s="185"/>
      <c r="CQ38" s="185"/>
      <c r="CR38" s="185"/>
      <c r="CS38" s="185"/>
      <c r="CT38" s="185"/>
      <c r="CU38" s="185"/>
      <c r="CV38" s="185"/>
      <c r="CW38" s="185"/>
      <c r="CX38" s="185"/>
      <c r="CY38" s="185"/>
      <c r="CZ38" s="185"/>
      <c r="DA38" s="185"/>
      <c r="DB38" s="185"/>
      <c r="DC38" s="185"/>
      <c r="DD38" s="185"/>
      <c r="DE38" s="185"/>
      <c r="DF38" s="185"/>
      <c r="DG38" s="185"/>
      <c r="DH38" s="185"/>
      <c r="DI38" s="185"/>
      <c r="DJ38" s="185"/>
      <c r="DK38" s="185"/>
      <c r="DL38" s="185"/>
      <c r="DM38" s="185"/>
      <c r="DN38" s="185"/>
      <c r="DO38" s="185"/>
      <c r="DP38" s="185"/>
      <c r="DQ38" s="185"/>
      <c r="DR38" s="185"/>
      <c r="DS38" s="185"/>
      <c r="DT38" s="185"/>
      <c r="DU38" s="185"/>
      <c r="DV38" s="185"/>
      <c r="DW38" s="185"/>
      <c r="DX38" s="185"/>
      <c r="DY38" s="185"/>
      <c r="DZ38" s="185"/>
      <c r="EA38" s="185"/>
      <c r="EB38" s="185"/>
      <c r="EC38" s="185"/>
      <c r="ED38" s="185"/>
      <c r="EE38" s="185"/>
      <c r="EF38" s="185"/>
      <c r="EG38" s="185"/>
      <c r="EH38" s="185"/>
      <c r="EI38" s="185"/>
      <c r="EJ38" s="185"/>
      <c r="EK38" s="185"/>
      <c r="EL38" s="185"/>
      <c r="EM38" s="185"/>
      <c r="EN38" s="185"/>
      <c r="EO38" s="185"/>
      <c r="EP38" s="185"/>
      <c r="EQ38" s="185"/>
      <c r="ER38" s="185"/>
      <c r="ES38" s="185"/>
      <c r="ET38" s="185"/>
      <c r="EU38" s="185"/>
      <c r="EV38" s="185"/>
      <c r="EW38" s="185"/>
      <c r="EX38" s="185"/>
      <c r="EY38" s="185"/>
      <c r="EZ38" s="185"/>
      <c r="FA38" s="185"/>
      <c r="FB38" s="185"/>
      <c r="FC38" s="185"/>
      <c r="FD38" s="185"/>
      <c r="FE38" s="185"/>
      <c r="FF38" s="185"/>
      <c r="FG38" s="185"/>
      <c r="FH38" s="185"/>
      <c r="FI38" s="185"/>
      <c r="FJ38" s="185"/>
      <c r="FK38" s="185"/>
      <c r="FL38" s="185"/>
      <c r="FM38" s="185"/>
      <c r="FN38" s="185"/>
      <c r="FO38" s="185"/>
      <c r="FP38" s="185"/>
      <c r="FQ38" s="185"/>
      <c r="FR38" s="185"/>
      <c r="FS38" s="185"/>
      <c r="FT38" s="185"/>
      <c r="FU38" s="185"/>
      <c r="FV38" s="185"/>
      <c r="FW38" s="185"/>
      <c r="FX38" s="185"/>
      <c r="FY38" s="185"/>
      <c r="FZ38" s="185"/>
      <c r="GA38" s="185"/>
      <c r="GB38" s="185"/>
      <c r="GC38" s="185"/>
      <c r="GD38" s="185"/>
      <c r="GE38" s="185"/>
      <c r="GF38" s="185"/>
      <c r="GG38" s="185"/>
      <c r="GH38" s="185"/>
      <c r="GI38" s="185"/>
      <c r="GJ38" s="185"/>
      <c r="GK38" s="185"/>
      <c r="GL38" s="185"/>
      <c r="GM38" s="185"/>
      <c r="GN38" s="185"/>
      <c r="GO38" s="185"/>
      <c r="GP38" s="185"/>
      <c r="GQ38" s="185"/>
      <c r="GR38" s="185"/>
      <c r="GS38" s="185"/>
      <c r="GT38" s="185"/>
      <c r="GU38" s="185"/>
      <c r="GV38" s="185"/>
      <c r="GW38" s="185"/>
      <c r="GX38" s="185"/>
      <c r="GY38" s="185"/>
      <c r="GZ38" s="185"/>
      <c r="HA38" s="185"/>
      <c r="HB38" s="185"/>
      <c r="HC38" s="185"/>
      <c r="HD38" s="185"/>
      <c r="HE38" s="185"/>
      <c r="HF38" s="185"/>
      <c r="HG38" s="185"/>
      <c r="HH38" s="185"/>
      <c r="HI38" s="185"/>
      <c r="HJ38" s="185"/>
      <c r="HK38" s="185"/>
      <c r="HL38" s="185"/>
      <c r="HM38" s="185"/>
      <c r="HN38" s="185"/>
      <c r="HO38" s="185"/>
      <c r="HP38" s="185"/>
      <c r="HQ38" s="185"/>
      <c r="HR38" s="185"/>
      <c r="HS38" s="185"/>
      <c r="HT38" s="185"/>
      <c r="HU38" s="185"/>
      <c r="HV38" s="185"/>
      <c r="HW38" s="185"/>
      <c r="HX38" s="185"/>
      <c r="HY38" s="185"/>
      <c r="HZ38" s="185"/>
      <c r="IA38" s="185"/>
      <c r="IB38" s="185"/>
      <c r="IC38" s="185"/>
      <c r="ID38" s="185"/>
      <c r="IE38" s="185"/>
      <c r="IF38" s="185"/>
      <c r="IG38" s="185"/>
      <c r="IH38" s="185"/>
      <c r="II38" s="185"/>
      <c r="IJ38" s="185"/>
      <c r="IK38" s="185"/>
      <c r="IL38" s="185"/>
      <c r="IM38" s="185"/>
      <c r="IN38" s="185"/>
      <c r="IO38" s="185"/>
      <c r="IP38" s="185"/>
      <c r="IQ38" s="185"/>
      <c r="IR38" s="185"/>
      <c r="IS38" s="185"/>
      <c r="IT38" s="185"/>
      <c r="IU38" s="185"/>
    </row>
    <row r="39" spans="1:255" s="43" customFormat="1" ht="24" x14ac:dyDescent="0.2">
      <c r="A39" s="192">
        <v>14</v>
      </c>
      <c r="B39" s="193" t="s">
        <v>105</v>
      </c>
      <c r="C39" s="193" t="s">
        <v>106</v>
      </c>
      <c r="D39" s="193" t="s">
        <v>44</v>
      </c>
      <c r="E39" s="194">
        <f t="shared" si="0"/>
        <v>0.2</v>
      </c>
      <c r="F39" s="195">
        <f>ROUND( 39690.27 * 7.56, 2 )</f>
        <v>300058.44</v>
      </c>
      <c r="G39" s="195">
        <f t="shared" si="1"/>
        <v>60011.69</v>
      </c>
      <c r="H39" s="196" t="s">
        <v>465</v>
      </c>
      <c r="I39" s="196" t="s">
        <v>459</v>
      </c>
      <c r="N39" s="185"/>
      <c r="O39" s="185">
        <f t="shared" si="2"/>
        <v>0.200345</v>
      </c>
      <c r="P39" s="185">
        <f>Source!I80</f>
        <v>0.200345</v>
      </c>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5"/>
      <c r="CZ39" s="185"/>
      <c r="DA39" s="185"/>
      <c r="DB39" s="185"/>
      <c r="DC39" s="185"/>
      <c r="DD39" s="185"/>
      <c r="DE39" s="185"/>
      <c r="DF39" s="185"/>
      <c r="DG39" s="185"/>
      <c r="DH39" s="185"/>
      <c r="DI39" s="185"/>
      <c r="DJ39" s="185"/>
      <c r="DK39" s="185"/>
      <c r="DL39" s="185"/>
      <c r="DM39" s="185"/>
      <c r="DN39" s="185"/>
      <c r="DO39" s="185"/>
      <c r="DP39" s="185"/>
      <c r="DQ39" s="185"/>
      <c r="DR39" s="185"/>
      <c r="DS39" s="185"/>
      <c r="DT39" s="185"/>
      <c r="DU39" s="185"/>
      <c r="DV39" s="185"/>
      <c r="DW39" s="185"/>
      <c r="DX39" s="185"/>
      <c r="DY39" s="185"/>
      <c r="DZ39" s="185"/>
      <c r="EA39" s="185"/>
      <c r="EB39" s="185"/>
      <c r="EC39" s="185"/>
      <c r="ED39" s="185"/>
      <c r="EE39" s="185"/>
      <c r="EF39" s="185"/>
      <c r="EG39" s="185"/>
      <c r="EH39" s="185"/>
      <c r="EI39" s="185"/>
      <c r="EJ39" s="185"/>
      <c r="EK39" s="185"/>
      <c r="EL39" s="185"/>
      <c r="EM39" s="185"/>
      <c r="EN39" s="185"/>
      <c r="EO39" s="185"/>
      <c r="EP39" s="185"/>
      <c r="EQ39" s="185"/>
      <c r="ER39" s="185"/>
      <c r="ES39" s="185"/>
      <c r="ET39" s="185"/>
      <c r="EU39" s="185"/>
      <c r="EV39" s="185"/>
      <c r="EW39" s="185"/>
      <c r="EX39" s="185"/>
      <c r="EY39" s="185"/>
      <c r="EZ39" s="185"/>
      <c r="FA39" s="185"/>
      <c r="FB39" s="185"/>
      <c r="FC39" s="185"/>
      <c r="FD39" s="185"/>
      <c r="FE39" s="185"/>
      <c r="FF39" s="185"/>
      <c r="FG39" s="185"/>
      <c r="FH39" s="185"/>
      <c r="FI39" s="185"/>
      <c r="FJ39" s="185"/>
      <c r="FK39" s="185"/>
      <c r="FL39" s="185"/>
      <c r="FM39" s="185"/>
      <c r="FN39" s="185"/>
      <c r="FO39" s="185"/>
      <c r="FP39" s="185"/>
      <c r="FQ39" s="185"/>
      <c r="FR39" s="185"/>
      <c r="FS39" s="185"/>
      <c r="FT39" s="185"/>
      <c r="FU39" s="185"/>
      <c r="FV39" s="185"/>
      <c r="FW39" s="185"/>
      <c r="FX39" s="185"/>
      <c r="FY39" s="185"/>
      <c r="FZ39" s="185"/>
      <c r="GA39" s="185"/>
      <c r="GB39" s="185"/>
      <c r="GC39" s="185"/>
      <c r="GD39" s="185"/>
      <c r="GE39" s="185"/>
      <c r="GF39" s="185"/>
      <c r="GG39" s="185"/>
      <c r="GH39" s="185"/>
      <c r="GI39" s="185"/>
      <c r="GJ39" s="185"/>
      <c r="GK39" s="185"/>
      <c r="GL39" s="185"/>
      <c r="GM39" s="185"/>
      <c r="GN39" s="185"/>
      <c r="GO39" s="185"/>
      <c r="GP39" s="185"/>
      <c r="GQ39" s="185"/>
      <c r="GR39" s="185"/>
      <c r="GS39" s="185"/>
      <c r="GT39" s="185"/>
      <c r="GU39" s="185"/>
      <c r="GV39" s="185"/>
      <c r="GW39" s="185"/>
      <c r="GX39" s="185"/>
      <c r="GY39" s="185"/>
      <c r="GZ39" s="185"/>
      <c r="HA39" s="185"/>
      <c r="HB39" s="185"/>
      <c r="HC39" s="185"/>
      <c r="HD39" s="185"/>
      <c r="HE39" s="185"/>
      <c r="HF39" s="185"/>
      <c r="HG39" s="185"/>
      <c r="HH39" s="185"/>
      <c r="HI39" s="185"/>
      <c r="HJ39" s="185"/>
      <c r="HK39" s="185"/>
      <c r="HL39" s="185"/>
      <c r="HM39" s="185"/>
      <c r="HN39" s="185"/>
      <c r="HO39" s="185"/>
      <c r="HP39" s="185"/>
      <c r="HQ39" s="185"/>
      <c r="HR39" s="185"/>
      <c r="HS39" s="185"/>
      <c r="HT39" s="185"/>
      <c r="HU39" s="185"/>
      <c r="HV39" s="185"/>
      <c r="HW39" s="185"/>
      <c r="HX39" s="185"/>
      <c r="HY39" s="185"/>
      <c r="HZ39" s="185"/>
      <c r="IA39" s="185"/>
      <c r="IB39" s="185"/>
      <c r="IC39" s="185"/>
      <c r="ID39" s="185"/>
      <c r="IE39" s="185"/>
      <c r="IF39" s="185"/>
      <c r="IG39" s="185"/>
      <c r="IH39" s="185"/>
      <c r="II39" s="185"/>
      <c r="IJ39" s="185"/>
      <c r="IK39" s="185"/>
      <c r="IL39" s="185"/>
      <c r="IM39" s="185"/>
      <c r="IN39" s="185"/>
      <c r="IO39" s="185"/>
      <c r="IP39" s="185"/>
      <c r="IQ39" s="185"/>
      <c r="IR39" s="185"/>
      <c r="IS39" s="185"/>
      <c r="IT39" s="185"/>
      <c r="IU39" s="185"/>
    </row>
    <row r="40" spans="1:255" s="43" customFormat="1" ht="24" x14ac:dyDescent="0.2">
      <c r="A40" s="192">
        <v>15</v>
      </c>
      <c r="B40" s="193" t="s">
        <v>42</v>
      </c>
      <c r="C40" s="193" t="s">
        <v>55</v>
      </c>
      <c r="D40" s="193" t="s">
        <v>44</v>
      </c>
      <c r="E40" s="194">
        <f t="shared" si="0"/>
        <v>0.63700000000000001</v>
      </c>
      <c r="F40" s="195">
        <f>ROUND( 5577.39 * 7.56, 2 )</f>
        <v>42165.07</v>
      </c>
      <c r="G40" s="195">
        <f t="shared" si="1"/>
        <v>26859.15</v>
      </c>
      <c r="H40" s="196" t="s">
        <v>460</v>
      </c>
      <c r="I40" s="196" t="s">
        <v>459</v>
      </c>
      <c r="N40" s="185"/>
      <c r="O40" s="185">
        <f t="shared" si="2"/>
        <v>0.63653099999999996</v>
      </c>
      <c r="P40" s="185">
        <f>Source!I38</f>
        <v>0.36581200000000003</v>
      </c>
      <c r="Q40" s="185">
        <f>Source!I64</f>
        <v>0.27071899999999999</v>
      </c>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c r="HP40" s="185"/>
      <c r="HQ40" s="185"/>
      <c r="HR40" s="185"/>
      <c r="HS40" s="185"/>
      <c r="HT40" s="185"/>
      <c r="HU40" s="185"/>
      <c r="HV40" s="185"/>
      <c r="HW40" s="185"/>
      <c r="HX40" s="185"/>
      <c r="HY40" s="185"/>
      <c r="HZ40" s="185"/>
      <c r="IA40" s="185"/>
      <c r="IB40" s="185"/>
      <c r="IC40" s="185"/>
      <c r="ID40" s="185"/>
      <c r="IE40" s="185"/>
      <c r="IF40" s="185"/>
      <c r="IG40" s="185"/>
      <c r="IH40" s="185"/>
      <c r="II40" s="185"/>
      <c r="IJ40" s="185"/>
      <c r="IK40" s="185"/>
      <c r="IL40" s="185"/>
      <c r="IM40" s="185"/>
      <c r="IN40" s="185"/>
      <c r="IO40" s="185"/>
      <c r="IP40" s="185"/>
      <c r="IQ40" s="185"/>
      <c r="IR40" s="185"/>
      <c r="IS40" s="185"/>
      <c r="IT40" s="185"/>
      <c r="IU40" s="185"/>
    </row>
    <row r="41" spans="1:255" s="43" customFormat="1" ht="24" x14ac:dyDescent="0.2">
      <c r="A41" s="192">
        <v>16</v>
      </c>
      <c r="B41" s="193" t="s">
        <v>42</v>
      </c>
      <c r="C41" s="193" t="s">
        <v>43</v>
      </c>
      <c r="D41" s="193" t="s">
        <v>44</v>
      </c>
      <c r="E41" s="194">
        <f t="shared" si="0"/>
        <v>0.249</v>
      </c>
      <c r="F41" s="195">
        <f>ROUND( 5577.39 * 7.56, 2 )</f>
        <v>42165.07</v>
      </c>
      <c r="G41" s="195">
        <f t="shared" si="1"/>
        <v>10499.1</v>
      </c>
      <c r="H41" s="196" t="s">
        <v>460</v>
      </c>
      <c r="I41" s="196" t="s">
        <v>459</v>
      </c>
      <c r="N41" s="185"/>
      <c r="O41" s="185">
        <f t="shared" si="2"/>
        <v>0.24913200000000002</v>
      </c>
      <c r="P41" s="185">
        <f>Source!I31</f>
        <v>0.24913200000000002</v>
      </c>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c r="HP41" s="185"/>
      <c r="HQ41" s="185"/>
      <c r="HR41" s="185"/>
      <c r="HS41" s="185"/>
      <c r="HT41" s="185"/>
      <c r="HU41" s="185"/>
      <c r="HV41" s="185"/>
      <c r="HW41" s="185"/>
      <c r="HX41" s="185"/>
      <c r="HY41" s="185"/>
      <c r="HZ41" s="185"/>
      <c r="IA41" s="185"/>
      <c r="IB41" s="185"/>
      <c r="IC41" s="185"/>
      <c r="ID41" s="185"/>
      <c r="IE41" s="185"/>
      <c r="IF41" s="185"/>
      <c r="IG41" s="185"/>
      <c r="IH41" s="185"/>
      <c r="II41" s="185"/>
      <c r="IJ41" s="185"/>
      <c r="IK41" s="185"/>
      <c r="IL41" s="185"/>
      <c r="IM41" s="185"/>
      <c r="IN41" s="185"/>
      <c r="IO41" s="185"/>
      <c r="IP41" s="185"/>
      <c r="IQ41" s="185"/>
      <c r="IR41" s="185"/>
      <c r="IS41" s="185"/>
      <c r="IT41" s="185"/>
      <c r="IU41" s="185"/>
    </row>
    <row r="42" spans="1:255" s="43" customFormat="1" ht="24" x14ac:dyDescent="0.2">
      <c r="A42" s="192">
        <v>17</v>
      </c>
      <c r="B42" s="193" t="s">
        <v>73</v>
      </c>
      <c r="C42" s="193" t="s">
        <v>74</v>
      </c>
      <c r="D42" s="193" t="s">
        <v>75</v>
      </c>
      <c r="E42" s="194">
        <f t="shared" si="0"/>
        <v>1.58</v>
      </c>
      <c r="F42" s="195">
        <f>ROUND( 1.97 * 7.56, 2 )</f>
        <v>14.89</v>
      </c>
      <c r="G42" s="195">
        <f t="shared" si="1"/>
        <v>23.53</v>
      </c>
      <c r="H42" s="196" t="s">
        <v>463</v>
      </c>
      <c r="I42" s="196" t="s">
        <v>459</v>
      </c>
      <c r="N42" s="185"/>
      <c r="O42" s="185">
        <f t="shared" si="2"/>
        <v>1.5801449999999999</v>
      </c>
      <c r="P42" s="185">
        <f>Source!I48</f>
        <v>0.72528199999999998</v>
      </c>
      <c r="Q42" s="185">
        <f>Source!I58</f>
        <v>0.50415900000000002</v>
      </c>
      <c r="R42" s="185">
        <f>Source!I74</f>
        <v>0.35070400000000002</v>
      </c>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c r="HP42" s="185"/>
      <c r="HQ42" s="185"/>
      <c r="HR42" s="185"/>
      <c r="HS42" s="185"/>
      <c r="HT42" s="185"/>
      <c r="HU42" s="185"/>
      <c r="HV42" s="185"/>
      <c r="HW42" s="185"/>
      <c r="HX42" s="185"/>
      <c r="HY42" s="185"/>
      <c r="HZ42" s="185"/>
      <c r="IA42" s="185"/>
      <c r="IB42" s="185"/>
      <c r="IC42" s="185"/>
      <c r="ID42" s="185"/>
      <c r="IE42" s="185"/>
      <c r="IF42" s="185"/>
      <c r="IG42" s="185"/>
      <c r="IH42" s="185"/>
      <c r="II42" s="185"/>
      <c r="IJ42" s="185"/>
      <c r="IK42" s="185"/>
      <c r="IL42" s="185"/>
      <c r="IM42" s="185"/>
      <c r="IN42" s="185"/>
      <c r="IO42" s="185"/>
      <c r="IP42" s="185"/>
      <c r="IQ42" s="185"/>
      <c r="IR42" s="185"/>
      <c r="IS42" s="185"/>
      <c r="IT42" s="185"/>
      <c r="IU42" s="185"/>
    </row>
    <row r="43" spans="1:255" x14ac:dyDescent="0.2">
      <c r="A43" s="188"/>
      <c r="B43" s="188"/>
      <c r="C43" s="189" t="s">
        <v>413</v>
      </c>
      <c r="D43" s="188"/>
      <c r="E43" s="188"/>
      <c r="F43" s="188"/>
      <c r="G43" s="190">
        <f>ROUND(SUM(G35:G42),2)</f>
        <v>159442.62</v>
      </c>
      <c r="H43" s="188"/>
      <c r="I43" s="188"/>
      <c r="J43" s="23"/>
      <c r="K43" s="23"/>
      <c r="L43" s="23"/>
      <c r="M43" s="178">
        <f>G43</f>
        <v>159442.62</v>
      </c>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5" spans="1:255" x14ac:dyDescent="0.2">
      <c r="C45" s="186" t="s">
        <v>161</v>
      </c>
      <c r="G45" s="187">
        <f>ROUND(SUM(K19:K45) + SUM(L19:L45) + SUM(M19:M45),2)</f>
        <v>642228.94999999995</v>
      </c>
    </row>
    <row r="46" spans="1:255" x14ac:dyDescent="0.2">
      <c r="C46" s="205" t="s">
        <v>481</v>
      </c>
      <c r="G46" s="187"/>
    </row>
    <row r="47" spans="1:255" x14ac:dyDescent="0.2">
      <c r="C47" s="205" t="s">
        <v>330</v>
      </c>
      <c r="G47" s="187">
        <f>ROUND(SUM(K19:K47),2)</f>
        <v>473692.62</v>
      </c>
    </row>
    <row r="48" spans="1:255" x14ac:dyDescent="0.2">
      <c r="C48" s="205" t="s">
        <v>389</v>
      </c>
      <c r="G48" s="187">
        <f>ROUND(SUM(L19:L48),2)</f>
        <v>9093.7099999999991</v>
      </c>
    </row>
    <row r="49" spans="1:255" x14ac:dyDescent="0.2">
      <c r="C49" s="205" t="s">
        <v>482</v>
      </c>
      <c r="G49" s="187">
        <f>ROUND(SUM(M19:M49),2)</f>
        <v>159442.62</v>
      </c>
    </row>
    <row r="51" spans="1:255" x14ac:dyDescent="0.2">
      <c r="A51" s="173" t="s">
        <v>300</v>
      </c>
      <c r="B51" s="173"/>
      <c r="C51" s="179" t="s">
        <v>426</v>
      </c>
      <c r="D51" s="174"/>
      <c r="E51" s="174"/>
      <c r="F51" s="252" t="s">
        <v>427</v>
      </c>
      <c r="G51" s="252"/>
      <c r="BY51" s="175" t="str">
        <f>C51</f>
        <v>Руководитель ПТС ООО "ОСУ-2"</v>
      </c>
      <c r="BZ51" s="175" t="str">
        <f>F51</f>
        <v>В.И.Когтев</v>
      </c>
      <c r="IU51" s="23"/>
    </row>
    <row r="52" spans="1:255" s="198" customFormat="1" ht="11.25" x14ac:dyDescent="0.2">
      <c r="A52" s="197"/>
      <c r="B52" s="197"/>
      <c r="C52" s="253" t="s">
        <v>422</v>
      </c>
      <c r="D52" s="253"/>
      <c r="E52" s="253"/>
      <c r="F52" s="253" t="s">
        <v>423</v>
      </c>
      <c r="G52" s="253"/>
    </row>
    <row r="53" spans="1:255" x14ac:dyDescent="0.2">
      <c r="A53" s="18"/>
      <c r="B53" s="18"/>
      <c r="C53" s="18"/>
      <c r="D53" s="11" t="s">
        <v>424</v>
      </c>
      <c r="E53" s="18"/>
      <c r="F53" s="18"/>
      <c r="G53" s="18"/>
    </row>
    <row r="54" spans="1:255" ht="22.5" x14ac:dyDescent="0.2">
      <c r="A54" s="173" t="s">
        <v>428</v>
      </c>
      <c r="B54" s="173"/>
      <c r="C54" s="179" t="s">
        <v>429</v>
      </c>
      <c r="D54" s="174"/>
      <c r="E54" s="174"/>
      <c r="F54" s="252" t="s">
        <v>430</v>
      </c>
      <c r="G54" s="252"/>
      <c r="BY54" s="175" t="str">
        <f>C54</f>
        <v>Главный инженер-сметчик СРС ООО "ОДСК-Инжиниринг"</v>
      </c>
      <c r="BZ54" s="175" t="str">
        <f>F54</f>
        <v>И.В.Шеверева</v>
      </c>
      <c r="IU54" s="23"/>
    </row>
    <row r="55" spans="1:255" s="198" customFormat="1" ht="11.25" x14ac:dyDescent="0.2">
      <c r="A55" s="197"/>
      <c r="B55" s="197"/>
      <c r="C55" s="253" t="s">
        <v>422</v>
      </c>
      <c r="D55" s="253"/>
      <c r="E55" s="253"/>
      <c r="F55" s="253" t="s">
        <v>423</v>
      </c>
      <c r="G55" s="253"/>
    </row>
    <row r="56" spans="1:255" x14ac:dyDescent="0.2">
      <c r="A56" s="18"/>
      <c r="B56" s="18"/>
      <c r="C56" s="18"/>
      <c r="D56" s="11" t="s">
        <v>424</v>
      </c>
      <c r="E56" s="18"/>
      <c r="F56" s="18"/>
      <c r="G56" s="18"/>
    </row>
    <row r="57" spans="1:255" x14ac:dyDescent="0.2">
      <c r="A57" s="173" t="s">
        <v>431</v>
      </c>
      <c r="B57" s="173"/>
      <c r="C57" s="179"/>
      <c r="D57" s="174"/>
      <c r="E57" s="174"/>
      <c r="F57" s="252"/>
      <c r="G57" s="252"/>
      <c r="BY57" s="175">
        <f>C57</f>
        <v>0</v>
      </c>
      <c r="BZ57" s="175">
        <f>F57</f>
        <v>0</v>
      </c>
      <c r="IU57" s="23"/>
    </row>
    <row r="58" spans="1:255" s="198" customFormat="1" ht="11.25" x14ac:dyDescent="0.2">
      <c r="A58" s="197"/>
      <c r="B58" s="197"/>
      <c r="C58" s="253" t="s">
        <v>422</v>
      </c>
      <c r="D58" s="253"/>
      <c r="E58" s="253"/>
      <c r="F58" s="253" t="s">
        <v>423</v>
      </c>
      <c r="G58" s="253"/>
    </row>
    <row r="59" spans="1:255" x14ac:dyDescent="0.2">
      <c r="A59" s="18"/>
      <c r="B59" s="18"/>
      <c r="C59" s="18"/>
      <c r="D59" s="11" t="s">
        <v>424</v>
      </c>
      <c r="E59" s="18"/>
      <c r="F59" s="18"/>
      <c r="G59" s="18"/>
    </row>
  </sheetData>
  <sortState ref="A35:IU42">
    <sortCondition ref="B35"/>
    <sortCondition ref="C35"/>
  </sortState>
  <mergeCells count="19">
    <mergeCell ref="C52:E52"/>
    <mergeCell ref="F52:G52"/>
    <mergeCell ref="A1:G1"/>
    <mergeCell ref="C3:G3"/>
    <mergeCell ref="C4:G4"/>
    <mergeCell ref="C5:G5"/>
    <mergeCell ref="C6:G6"/>
    <mergeCell ref="A7:G7"/>
    <mergeCell ref="A8:G8"/>
    <mergeCell ref="A9:G9"/>
    <mergeCell ref="A10:G10"/>
    <mergeCell ref="B11:G11"/>
    <mergeCell ref="F51:G51"/>
    <mergeCell ref="F54:G54"/>
    <mergeCell ref="C55:E55"/>
    <mergeCell ref="F55:G55"/>
    <mergeCell ref="F57:G57"/>
    <mergeCell ref="C58:E58"/>
    <mergeCell ref="F58:G58"/>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3"/>
  <sheetViews>
    <sheetView workbookViewId="0">
      <selection sqref="A1:G1"/>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267" t="s">
        <v>290</v>
      </c>
      <c r="B1" s="267"/>
      <c r="C1" s="267"/>
      <c r="D1" s="267"/>
      <c r="E1" s="267"/>
      <c r="F1" s="267"/>
      <c r="G1" s="267"/>
    </row>
    <row r="3" spans="1:255" x14ac:dyDescent="0.2">
      <c r="A3" s="20" t="s">
        <v>297</v>
      </c>
      <c r="B3" s="19"/>
      <c r="C3" s="269"/>
      <c r="D3" s="270"/>
      <c r="E3" s="270"/>
      <c r="F3" s="270"/>
      <c r="G3" s="270"/>
      <c r="BR3" s="22">
        <f>C3</f>
        <v>0</v>
      </c>
      <c r="IU3" s="23"/>
    </row>
    <row r="4" spans="1:255" x14ac:dyDescent="0.2">
      <c r="A4" s="20" t="s">
        <v>299</v>
      </c>
      <c r="B4" s="19"/>
      <c r="C4" s="271"/>
      <c r="D4" s="272"/>
      <c r="E4" s="272"/>
      <c r="F4" s="272"/>
      <c r="G4" s="272"/>
      <c r="BR4" s="22">
        <f>C4</f>
        <v>0</v>
      </c>
      <c r="IU4" s="23"/>
    </row>
    <row r="5" spans="1:255" x14ac:dyDescent="0.2">
      <c r="A5" s="20" t="s">
        <v>300</v>
      </c>
      <c r="B5" s="19"/>
      <c r="C5" s="271"/>
      <c r="D5" s="272"/>
      <c r="E5" s="272"/>
      <c r="F5" s="272"/>
      <c r="G5" s="272"/>
      <c r="BR5" s="22">
        <f>C5</f>
        <v>0</v>
      </c>
      <c r="IU5" s="23"/>
    </row>
    <row r="6" spans="1:255" x14ac:dyDescent="0.2">
      <c r="A6" s="20" t="s">
        <v>301</v>
      </c>
      <c r="B6" s="19"/>
      <c r="C6" s="265"/>
      <c r="D6" s="266"/>
      <c r="E6" s="266"/>
      <c r="F6" s="266"/>
      <c r="G6" s="266"/>
      <c r="BR6" s="22">
        <f>C6</f>
        <v>0</v>
      </c>
      <c r="IU6" s="23"/>
    </row>
    <row r="7" spans="1:255" x14ac:dyDescent="0.2">
      <c r="A7" s="254"/>
      <c r="B7" s="254"/>
      <c r="C7" s="254"/>
      <c r="D7" s="254"/>
      <c r="E7" s="254"/>
      <c r="F7" s="254"/>
      <c r="G7" s="254"/>
    </row>
    <row r="8" spans="1:255" ht="18.75" x14ac:dyDescent="0.3">
      <c r="A8" s="255" t="s">
        <v>436</v>
      </c>
      <c r="B8" s="255"/>
      <c r="C8" s="255"/>
      <c r="D8" s="255"/>
      <c r="E8" s="255"/>
      <c r="F8" s="255"/>
      <c r="G8" s="255"/>
    </row>
    <row r="9" spans="1:255" x14ac:dyDescent="0.2">
      <c r="A9" s="256" t="s">
        <v>437</v>
      </c>
      <c r="B9" s="256"/>
      <c r="C9" s="256"/>
      <c r="D9" s="256"/>
      <c r="E9" s="256"/>
      <c r="F9" s="256"/>
      <c r="G9" s="256"/>
    </row>
    <row r="10" spans="1:255" x14ac:dyDescent="0.2">
      <c r="A10" s="256" t="s">
        <v>8</v>
      </c>
      <c r="B10" s="256"/>
      <c r="C10" s="256"/>
      <c r="D10" s="256"/>
      <c r="E10" s="256"/>
      <c r="F10" s="256"/>
      <c r="G10" s="256"/>
    </row>
    <row r="11" spans="1:255" ht="47.25" x14ac:dyDescent="0.25">
      <c r="A11" s="14" t="s">
        <v>303</v>
      </c>
      <c r="B11" s="257" t="s">
        <v>5</v>
      </c>
      <c r="C11" s="257"/>
      <c r="D11" s="257"/>
      <c r="E11" s="257"/>
      <c r="F11" s="257"/>
      <c r="G11" s="257"/>
      <c r="BS11" s="180" t="str">
        <f>B11</f>
        <v>Комплекс из 2-х многоквартирных домов, расположенных по адресу г.Орел, б-р Молодежи, участок 2а. 1-й этап строительства - многоквартирный дом корпус 2 (поз.1)</v>
      </c>
      <c r="IU11" s="23"/>
    </row>
    <row r="13" spans="1:255" x14ac:dyDescent="0.2">
      <c r="A13" s="14" t="s">
        <v>318</v>
      </c>
    </row>
    <row r="14" spans="1:255" x14ac:dyDescent="0.2">
      <c r="A14" s="14" t="s">
        <v>319</v>
      </c>
    </row>
    <row r="15" spans="1:255" x14ac:dyDescent="0.2">
      <c r="A15" s="181" t="s">
        <v>438</v>
      </c>
      <c r="B15" s="181" t="s">
        <v>440</v>
      </c>
      <c r="C15" s="181" t="s">
        <v>443</v>
      </c>
      <c r="D15" s="181" t="s">
        <v>445</v>
      </c>
      <c r="E15" s="181" t="s">
        <v>448</v>
      </c>
      <c r="F15" s="181" t="s">
        <v>450</v>
      </c>
      <c r="G15" s="181" t="s">
        <v>452</v>
      </c>
      <c r="H15" s="181" t="s">
        <v>454</v>
      </c>
      <c r="I15" s="182" t="s">
        <v>414</v>
      </c>
    </row>
    <row r="16" spans="1:255" x14ac:dyDescent="0.2">
      <c r="A16" s="183" t="s">
        <v>439</v>
      </c>
      <c r="B16" s="183" t="s">
        <v>441</v>
      </c>
      <c r="C16" s="183" t="s">
        <v>444</v>
      </c>
      <c r="D16" s="183" t="s">
        <v>446</v>
      </c>
      <c r="E16" s="183" t="s">
        <v>449</v>
      </c>
      <c r="F16" s="183" t="s">
        <v>451</v>
      </c>
      <c r="G16" s="183" t="s">
        <v>453</v>
      </c>
      <c r="H16" s="183" t="s">
        <v>455</v>
      </c>
      <c r="I16" s="184" t="s">
        <v>352</v>
      </c>
    </row>
    <row r="17" spans="1:255" x14ac:dyDescent="0.2">
      <c r="A17" s="183"/>
      <c r="B17" s="183" t="s">
        <v>442</v>
      </c>
      <c r="C17" s="183"/>
      <c r="D17" s="183" t="s">
        <v>447</v>
      </c>
      <c r="E17" s="183"/>
      <c r="F17" s="183"/>
      <c r="G17" s="183" t="s">
        <v>451</v>
      </c>
      <c r="H17" s="183" t="s">
        <v>456</v>
      </c>
      <c r="I17" s="184"/>
    </row>
    <row r="18" spans="1:255" x14ac:dyDescent="0.2">
      <c r="A18" s="181">
        <v>1</v>
      </c>
      <c r="B18" s="181">
        <v>2</v>
      </c>
      <c r="C18" s="181">
        <v>3</v>
      </c>
      <c r="D18" s="181">
        <v>4</v>
      </c>
      <c r="E18" s="181">
        <v>5</v>
      </c>
      <c r="F18" s="181">
        <v>6</v>
      </c>
      <c r="G18" s="181">
        <v>7</v>
      </c>
      <c r="H18" s="181">
        <v>8</v>
      </c>
      <c r="I18" s="182">
        <v>9</v>
      </c>
    </row>
    <row r="19" spans="1:255" x14ac:dyDescent="0.2">
      <c r="A19" s="191"/>
      <c r="B19" s="191" t="s">
        <v>457</v>
      </c>
      <c r="C19" s="191"/>
      <c r="D19" s="191"/>
      <c r="E19" s="191"/>
      <c r="F19" s="191"/>
      <c r="G19" s="188"/>
      <c r="H19" s="188"/>
      <c r="I19" s="188"/>
    </row>
    <row r="20" spans="1:255" s="43" customFormat="1" ht="24" x14ac:dyDescent="0.2">
      <c r="A20" s="192">
        <v>1</v>
      </c>
      <c r="B20" s="193" t="s">
        <v>31</v>
      </c>
      <c r="C20" s="193" t="s">
        <v>32</v>
      </c>
      <c r="D20" s="193" t="s">
        <v>33</v>
      </c>
      <c r="E20" s="194">
        <f t="shared" ref="E20:E27" si="0">ROUND(O20,3)</f>
        <v>17.103000000000002</v>
      </c>
      <c r="F20" s="195">
        <f>ROUND( 4.28 * 7.56, 2 )</f>
        <v>32.36</v>
      </c>
      <c r="G20" s="195">
        <f t="shared" ref="G20:G27" si="1">ROUND(E20*F20,2)</f>
        <v>553.45000000000005</v>
      </c>
      <c r="H20" s="196" t="s">
        <v>458</v>
      </c>
      <c r="I20" s="196" t="s">
        <v>459</v>
      </c>
      <c r="N20" s="185"/>
      <c r="O20" s="185">
        <f t="shared" ref="O20:O27" si="2">SUM(P20:IV20)</f>
        <v>17.10305</v>
      </c>
      <c r="P20" s="185">
        <f>Source!I29</f>
        <v>1.9163999999999999</v>
      </c>
      <c r="Q20" s="185">
        <f>Source!I36</f>
        <v>2.7713000000000001</v>
      </c>
      <c r="R20" s="185">
        <f>Source!I46</f>
        <v>4.4224500000000004</v>
      </c>
      <c r="S20" s="185">
        <f>Source!I56</f>
        <v>2.9483000000000001</v>
      </c>
      <c r="T20" s="185">
        <f>Source!I62</f>
        <v>2.0508999999999999</v>
      </c>
      <c r="U20" s="185">
        <f>Source!I72</f>
        <v>2.0508999999999999</v>
      </c>
      <c r="V20" s="185">
        <f>Source!I78</f>
        <v>0.94279999999999997</v>
      </c>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row>
    <row r="21" spans="1:255" s="43" customFormat="1" ht="24" x14ac:dyDescent="0.2">
      <c r="A21" s="192">
        <v>2</v>
      </c>
      <c r="B21" s="193" t="s">
        <v>73</v>
      </c>
      <c r="C21" s="193" t="s">
        <v>74</v>
      </c>
      <c r="D21" s="193" t="s">
        <v>75</v>
      </c>
      <c r="E21" s="194">
        <f t="shared" si="0"/>
        <v>1.58</v>
      </c>
      <c r="F21" s="195">
        <f>ROUND( 1.97 * 7.56, 2 )</f>
        <v>14.89</v>
      </c>
      <c r="G21" s="195">
        <f t="shared" si="1"/>
        <v>23.53</v>
      </c>
      <c r="H21" s="196" t="s">
        <v>463</v>
      </c>
      <c r="I21" s="196" t="s">
        <v>459</v>
      </c>
      <c r="N21" s="185"/>
      <c r="O21" s="185">
        <f t="shared" si="2"/>
        <v>1.5801449999999999</v>
      </c>
      <c r="P21" s="185">
        <f>Source!I48</f>
        <v>0.72528199999999998</v>
      </c>
      <c r="Q21" s="185">
        <f>Source!I58</f>
        <v>0.50415900000000002</v>
      </c>
      <c r="R21" s="185">
        <f>Source!I74</f>
        <v>0.35070400000000002</v>
      </c>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row>
    <row r="22" spans="1:255" s="43" customFormat="1" ht="24" x14ac:dyDescent="0.2">
      <c r="A22" s="192">
        <v>3</v>
      </c>
      <c r="B22" s="193" t="s">
        <v>105</v>
      </c>
      <c r="C22" s="193" t="s">
        <v>106</v>
      </c>
      <c r="D22" s="193" t="s">
        <v>44</v>
      </c>
      <c r="E22" s="194">
        <f t="shared" si="0"/>
        <v>0.2</v>
      </c>
      <c r="F22" s="195">
        <f>ROUND( 39690.27 * 7.56, 2 )</f>
        <v>300058.44</v>
      </c>
      <c r="G22" s="195">
        <f t="shared" si="1"/>
        <v>60011.69</v>
      </c>
      <c r="H22" s="196" t="s">
        <v>465</v>
      </c>
      <c r="I22" s="196" t="s">
        <v>459</v>
      </c>
      <c r="N22" s="185"/>
      <c r="O22" s="185">
        <f t="shared" si="2"/>
        <v>0.200345</v>
      </c>
      <c r="P22" s="185">
        <f>Source!I80</f>
        <v>0.200345</v>
      </c>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row>
    <row r="23" spans="1:255" s="43" customFormat="1" ht="24" x14ac:dyDescent="0.2">
      <c r="A23" s="192">
        <v>4</v>
      </c>
      <c r="B23" s="193" t="s">
        <v>42</v>
      </c>
      <c r="C23" s="193" t="s">
        <v>55</v>
      </c>
      <c r="D23" s="193" t="s">
        <v>44</v>
      </c>
      <c r="E23" s="194">
        <f t="shared" si="0"/>
        <v>0.63700000000000001</v>
      </c>
      <c r="F23" s="195">
        <f>ROUND( 5577.39 * 7.56, 2 )</f>
        <v>42165.07</v>
      </c>
      <c r="G23" s="195">
        <f t="shared" si="1"/>
        <v>26859.15</v>
      </c>
      <c r="H23" s="196" t="s">
        <v>460</v>
      </c>
      <c r="I23" s="196" t="s">
        <v>459</v>
      </c>
      <c r="N23" s="185"/>
      <c r="O23" s="185">
        <f t="shared" si="2"/>
        <v>0.63653099999999996</v>
      </c>
      <c r="P23" s="185">
        <f>Source!I38</f>
        <v>0.36581200000000003</v>
      </c>
      <c r="Q23" s="185">
        <f>Source!I64</f>
        <v>0.27071899999999999</v>
      </c>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row>
    <row r="24" spans="1:255" s="43" customFormat="1" ht="24" x14ac:dyDescent="0.2">
      <c r="A24" s="192">
        <v>5</v>
      </c>
      <c r="B24" s="193" t="s">
        <v>42</v>
      </c>
      <c r="C24" s="193" t="s">
        <v>43</v>
      </c>
      <c r="D24" s="193" t="s">
        <v>44</v>
      </c>
      <c r="E24" s="194">
        <f t="shared" si="0"/>
        <v>0.249</v>
      </c>
      <c r="F24" s="195">
        <f>ROUND( 5577.39 * 7.56, 2 )</f>
        <v>42165.07</v>
      </c>
      <c r="G24" s="195">
        <f t="shared" si="1"/>
        <v>10499.1</v>
      </c>
      <c r="H24" s="196" t="s">
        <v>460</v>
      </c>
      <c r="I24" s="196" t="s">
        <v>459</v>
      </c>
      <c r="N24" s="185"/>
      <c r="O24" s="185">
        <f t="shared" si="2"/>
        <v>0.24913200000000002</v>
      </c>
      <c r="P24" s="185">
        <f>Source!I31</f>
        <v>0.24913200000000002</v>
      </c>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row>
    <row r="25" spans="1:255" s="43" customFormat="1" ht="24" x14ac:dyDescent="0.2">
      <c r="A25" s="192">
        <v>6</v>
      </c>
      <c r="B25" s="193" t="s">
        <v>61</v>
      </c>
      <c r="C25" s="193" t="s">
        <v>62</v>
      </c>
      <c r="D25" s="193" t="s">
        <v>63</v>
      </c>
      <c r="E25" s="194">
        <f t="shared" si="0"/>
        <v>0.95399999999999996</v>
      </c>
      <c r="F25" s="195">
        <f>ROUND( 34.72 * 7.56, 2 )</f>
        <v>262.48</v>
      </c>
      <c r="G25" s="195">
        <f t="shared" si="1"/>
        <v>250.41</v>
      </c>
      <c r="H25" s="196" t="s">
        <v>461</v>
      </c>
      <c r="I25" s="196" t="s">
        <v>459</v>
      </c>
      <c r="N25" s="185"/>
      <c r="O25" s="185">
        <f t="shared" si="2"/>
        <v>0.95369999999999999</v>
      </c>
      <c r="P25" s="185">
        <f>Source!I42</f>
        <v>0.353796</v>
      </c>
      <c r="Q25" s="185">
        <f>Source!I52</f>
        <v>0.353796</v>
      </c>
      <c r="R25" s="185">
        <f>Source!I68</f>
        <v>0.24610800000000002</v>
      </c>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row>
    <row r="26" spans="1:255" s="43" customFormat="1" ht="24" x14ac:dyDescent="0.2">
      <c r="A26" s="192">
        <v>7</v>
      </c>
      <c r="B26" s="193" t="s">
        <v>67</v>
      </c>
      <c r="C26" s="193" t="s">
        <v>68</v>
      </c>
      <c r="D26" s="193" t="s">
        <v>44</v>
      </c>
      <c r="E26" s="194">
        <f t="shared" si="0"/>
        <v>1.5629999999999999</v>
      </c>
      <c r="F26" s="195">
        <f>ROUND( 2150.47 * 7.56, 2 )</f>
        <v>16257.55</v>
      </c>
      <c r="G26" s="195">
        <f t="shared" si="1"/>
        <v>25410.55</v>
      </c>
      <c r="H26" s="196" t="s">
        <v>462</v>
      </c>
      <c r="I26" s="196" t="s">
        <v>459</v>
      </c>
      <c r="N26" s="185"/>
      <c r="O26" s="185">
        <f t="shared" si="2"/>
        <v>1.5625990000000001</v>
      </c>
      <c r="P26" s="185">
        <f>Source!I44</f>
        <v>1.5625990000000001</v>
      </c>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row>
    <row r="27" spans="1:255" s="43" customFormat="1" ht="24" x14ac:dyDescent="0.2">
      <c r="A27" s="192">
        <v>8</v>
      </c>
      <c r="B27" s="193" t="s">
        <v>84</v>
      </c>
      <c r="C27" s="193" t="s">
        <v>85</v>
      </c>
      <c r="D27" s="193" t="s">
        <v>44</v>
      </c>
      <c r="E27" s="194">
        <f t="shared" si="0"/>
        <v>2.0150000000000001</v>
      </c>
      <c r="F27" s="195">
        <f>ROUND( 2352.38 * 7.56, 2 )</f>
        <v>17783.990000000002</v>
      </c>
      <c r="G27" s="195">
        <f t="shared" si="1"/>
        <v>35834.74</v>
      </c>
      <c r="H27" s="196" t="s">
        <v>464</v>
      </c>
      <c r="I27" s="196" t="s">
        <v>459</v>
      </c>
      <c r="N27" s="185"/>
      <c r="O27" s="185">
        <f t="shared" si="2"/>
        <v>2.014678</v>
      </c>
      <c r="P27" s="185">
        <f>Source!I54</f>
        <v>1.1881649999999999</v>
      </c>
      <c r="Q27" s="185">
        <f>Source!I70</f>
        <v>0.82651300000000005</v>
      </c>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185"/>
      <c r="DW27" s="185"/>
      <c r="DX27" s="185"/>
      <c r="DY27" s="185"/>
      <c r="DZ27" s="185"/>
      <c r="EA27" s="185"/>
      <c r="EB27" s="185"/>
      <c r="EC27" s="185"/>
      <c r="ED27" s="185"/>
      <c r="EE27" s="185"/>
      <c r="EF27" s="185"/>
      <c r="EG27" s="185"/>
      <c r="EH27" s="185"/>
      <c r="EI27" s="185"/>
      <c r="EJ27" s="185"/>
      <c r="EK27" s="185"/>
      <c r="EL27" s="185"/>
      <c r="EM27" s="185"/>
      <c r="EN27" s="185"/>
      <c r="EO27" s="185"/>
      <c r="EP27" s="185"/>
      <c r="EQ27" s="185"/>
      <c r="ER27" s="185"/>
      <c r="ES27" s="185"/>
      <c r="ET27" s="185"/>
      <c r="EU27" s="185"/>
      <c r="EV27" s="185"/>
      <c r="EW27" s="185"/>
      <c r="EX27" s="185"/>
      <c r="EY27" s="185"/>
      <c r="EZ27" s="185"/>
      <c r="FA27" s="185"/>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85"/>
      <c r="GG27" s="185"/>
      <c r="GH27" s="185"/>
      <c r="GI27" s="185"/>
      <c r="GJ27" s="185"/>
      <c r="GK27" s="185"/>
      <c r="GL27" s="185"/>
      <c r="GM27" s="185"/>
      <c r="GN27" s="185"/>
      <c r="GO27" s="185"/>
      <c r="GP27" s="185"/>
      <c r="GQ27" s="185"/>
      <c r="GR27" s="185"/>
      <c r="GS27" s="185"/>
      <c r="GT27" s="185"/>
      <c r="GU27" s="185"/>
      <c r="GV27" s="185"/>
      <c r="GW27" s="185"/>
      <c r="GX27" s="185"/>
      <c r="GY27" s="185"/>
      <c r="GZ27" s="185"/>
      <c r="HA27" s="185"/>
      <c r="HB27" s="185"/>
      <c r="HC27" s="185"/>
      <c r="HD27" s="185"/>
      <c r="HE27" s="185"/>
      <c r="HF27" s="185"/>
      <c r="HG27" s="185"/>
      <c r="HH27" s="185"/>
      <c r="HI27" s="185"/>
      <c r="HJ27" s="185"/>
      <c r="HK27" s="185"/>
      <c r="HL27" s="185"/>
      <c r="HM27" s="185"/>
      <c r="HN27" s="185"/>
      <c r="HO27" s="185"/>
      <c r="HP27" s="185"/>
      <c r="HQ27" s="185"/>
      <c r="HR27" s="185"/>
      <c r="HS27" s="185"/>
      <c r="HT27" s="185"/>
      <c r="HU27" s="185"/>
      <c r="HV27" s="185"/>
      <c r="HW27" s="185"/>
      <c r="HX27" s="185"/>
      <c r="HY27" s="185"/>
      <c r="HZ27" s="185"/>
      <c r="IA27" s="185"/>
      <c r="IB27" s="185"/>
      <c r="IC27" s="185"/>
      <c r="ID27" s="185"/>
      <c r="IE27" s="185"/>
      <c r="IF27" s="185"/>
      <c r="IG27" s="185"/>
      <c r="IH27" s="185"/>
      <c r="II27" s="185"/>
      <c r="IJ27" s="185"/>
      <c r="IK27" s="185"/>
      <c r="IL27" s="185"/>
      <c r="IM27" s="185"/>
      <c r="IN27" s="185"/>
      <c r="IO27" s="185"/>
      <c r="IP27" s="185"/>
      <c r="IQ27" s="185"/>
      <c r="IR27" s="185"/>
      <c r="IS27" s="185"/>
      <c r="IT27" s="185"/>
      <c r="IU27" s="185"/>
    </row>
    <row r="28" spans="1:255" x14ac:dyDescent="0.2">
      <c r="A28" s="188"/>
      <c r="B28" s="188"/>
      <c r="C28" s="189" t="s">
        <v>413</v>
      </c>
      <c r="D28" s="188"/>
      <c r="E28" s="188"/>
      <c r="F28" s="188"/>
      <c r="G28" s="190">
        <f>ROUND(SUM(G20:G27),2)</f>
        <v>159442.62</v>
      </c>
      <c r="H28" s="188"/>
      <c r="I28" s="188"/>
      <c r="J28" s="23"/>
      <c r="K28" s="23"/>
      <c r="L28" s="23"/>
      <c r="M28" s="178">
        <f>G28</f>
        <v>159442.62</v>
      </c>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30" spans="1:255" x14ac:dyDescent="0.2">
      <c r="C30" s="186" t="s">
        <v>161</v>
      </c>
      <c r="G30" s="187">
        <f>ROUND(SUM(M19:M30),2)</f>
        <v>159442.62</v>
      </c>
    </row>
    <row r="33" spans="1:255" x14ac:dyDescent="0.2">
      <c r="A33" s="173" t="s">
        <v>300</v>
      </c>
      <c r="B33" s="173"/>
      <c r="C33" s="179" t="s">
        <v>426</v>
      </c>
      <c r="D33" s="174"/>
      <c r="E33" s="174"/>
      <c r="F33" s="252" t="s">
        <v>427</v>
      </c>
      <c r="G33" s="252"/>
      <c r="BY33" s="175" t="str">
        <f>C33</f>
        <v>Руководитель ПТС ООО "ОСУ-2"</v>
      </c>
      <c r="BZ33" s="175" t="str">
        <f>F33</f>
        <v>В.И.Когтев</v>
      </c>
      <c r="IU33" s="23"/>
    </row>
    <row r="34" spans="1:255" s="198" customFormat="1" ht="11.25" x14ac:dyDescent="0.2">
      <c r="A34" s="197"/>
      <c r="B34" s="197"/>
      <c r="C34" s="253" t="s">
        <v>422</v>
      </c>
      <c r="D34" s="253"/>
      <c r="E34" s="253"/>
      <c r="F34" s="253" t="s">
        <v>423</v>
      </c>
      <c r="G34" s="253"/>
    </row>
    <row r="35" spans="1:255" x14ac:dyDescent="0.2">
      <c r="A35" s="18"/>
      <c r="B35" s="18"/>
      <c r="C35" s="18"/>
      <c r="D35" s="11" t="s">
        <v>424</v>
      </c>
      <c r="E35" s="18"/>
      <c r="F35" s="18"/>
      <c r="G35" s="18"/>
    </row>
    <row r="36" spans="1:255" ht="22.5" x14ac:dyDescent="0.2">
      <c r="A36" s="173" t="s">
        <v>428</v>
      </c>
      <c r="B36" s="173"/>
      <c r="C36" s="179" t="s">
        <v>429</v>
      </c>
      <c r="D36" s="174"/>
      <c r="E36" s="174"/>
      <c r="F36" s="252" t="s">
        <v>430</v>
      </c>
      <c r="G36" s="252"/>
      <c r="BY36" s="175" t="str">
        <f>C36</f>
        <v>Главный инженер-сметчик СРС ООО "ОДСК-Инжиниринг"</v>
      </c>
      <c r="BZ36" s="175" t="str">
        <f>F36</f>
        <v>И.В.Шеверева</v>
      </c>
      <c r="IU36" s="23"/>
    </row>
    <row r="37" spans="1:255" s="198" customFormat="1" ht="11.25" x14ac:dyDescent="0.2">
      <c r="A37" s="197"/>
      <c r="B37" s="197"/>
      <c r="C37" s="253" t="s">
        <v>422</v>
      </c>
      <c r="D37" s="253"/>
      <c r="E37" s="253"/>
      <c r="F37" s="253" t="s">
        <v>423</v>
      </c>
      <c r="G37" s="253"/>
    </row>
    <row r="38" spans="1:255" x14ac:dyDescent="0.2">
      <c r="A38" s="18"/>
      <c r="B38" s="18"/>
      <c r="C38" s="18"/>
      <c r="D38" s="11" t="s">
        <v>424</v>
      </c>
      <c r="E38" s="18"/>
      <c r="F38" s="18"/>
      <c r="G38" s="18"/>
    </row>
    <row r="39" spans="1:255" x14ac:dyDescent="0.2">
      <c r="A39" s="173" t="s">
        <v>431</v>
      </c>
      <c r="B39" s="173"/>
      <c r="C39" s="179"/>
      <c r="D39" s="174"/>
      <c r="E39" s="174"/>
      <c r="F39" s="252"/>
      <c r="G39" s="252"/>
      <c r="BY39" s="175">
        <f>C39</f>
        <v>0</v>
      </c>
      <c r="BZ39" s="175">
        <f>F39</f>
        <v>0</v>
      </c>
      <c r="IU39" s="23"/>
    </row>
    <row r="40" spans="1:255" s="198" customFormat="1" ht="11.25" x14ac:dyDescent="0.2">
      <c r="A40" s="197"/>
      <c r="B40" s="197"/>
      <c r="C40" s="253" t="s">
        <v>422</v>
      </c>
      <c r="D40" s="253"/>
      <c r="E40" s="253"/>
      <c r="F40" s="253" t="s">
        <v>423</v>
      </c>
      <c r="G40" s="253"/>
    </row>
    <row r="41" spans="1:255" x14ac:dyDescent="0.2">
      <c r="A41" s="18"/>
      <c r="B41" s="18"/>
      <c r="C41" s="18"/>
      <c r="D41" s="11" t="s">
        <v>424</v>
      </c>
      <c r="E41" s="18"/>
      <c r="F41" s="18"/>
      <c r="G41" s="18"/>
    </row>
    <row r="43" spans="1:255" x14ac:dyDescent="0.2">
      <c r="A43" s="31"/>
      <c r="B43" s="31"/>
    </row>
  </sheetData>
  <sortState ref="A20:IU27">
    <sortCondition ref="C20"/>
    <sortCondition ref="D20"/>
  </sortState>
  <mergeCells count="19">
    <mergeCell ref="C34:E34"/>
    <mergeCell ref="F34:G34"/>
    <mergeCell ref="A1:G1"/>
    <mergeCell ref="C3:G3"/>
    <mergeCell ref="C4:G4"/>
    <mergeCell ref="C5:G5"/>
    <mergeCell ref="C6:G6"/>
    <mergeCell ref="A7:G7"/>
    <mergeCell ref="A8:G8"/>
    <mergeCell ref="A9:G9"/>
    <mergeCell ref="A10:G10"/>
    <mergeCell ref="B11:G11"/>
    <mergeCell ref="F33:G33"/>
    <mergeCell ref="F36:G36"/>
    <mergeCell ref="C37:E37"/>
    <mergeCell ref="F37:G37"/>
    <mergeCell ref="F39:G39"/>
    <mergeCell ref="C40:E40"/>
    <mergeCell ref="F40:G40"/>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S107"/>
  <sheetViews>
    <sheetView tabSelected="1" view="pageBreakPreview" topLeftCell="A86" zoomScale="80" zoomScaleNormal="100" zoomScaleSheetLayoutView="80" workbookViewId="0">
      <selection activeCell="C67" sqref="C67:E69"/>
    </sheetView>
  </sheetViews>
  <sheetFormatPr defaultRowHeight="12.75" outlineLevelRow="1" x14ac:dyDescent="0.2"/>
  <cols>
    <col min="1" max="1" width="4.7109375" customWidth="1"/>
    <col min="2" max="2" width="16.7109375" customWidth="1"/>
    <col min="3" max="3" width="78.7109375" customWidth="1"/>
    <col min="4" max="4" width="14.7109375" customWidth="1"/>
    <col min="5" max="5" width="7.7109375" customWidth="1"/>
    <col min="14" max="67" width="0" hidden="1" customWidth="1"/>
    <col min="68" max="69" width="79.7109375" hidden="1" customWidth="1"/>
    <col min="70" max="70" width="115.7109375" hidden="1" customWidth="1"/>
    <col min="71" max="72" width="135.7109375" hidden="1" customWidth="1"/>
    <col min="73" max="73" width="21.7109375" hidden="1" customWidth="1"/>
    <col min="74" max="74" width="115.7109375" hidden="1" customWidth="1"/>
    <col min="75" max="75" width="79.7109375" hidden="1" customWidth="1"/>
    <col min="76" max="76" width="21.7109375" hidden="1" customWidth="1"/>
    <col min="77" max="254" width="0" hidden="1" customWidth="1"/>
  </cols>
  <sheetData>
    <row r="1" spans="1:13" s="217" customFormat="1" ht="16.5" x14ac:dyDescent="0.3">
      <c r="C1" s="284" t="s">
        <v>533</v>
      </c>
      <c r="D1" s="284"/>
      <c r="E1" s="284"/>
      <c r="F1" s="285"/>
      <c r="G1" s="285"/>
      <c r="H1" s="285"/>
      <c r="I1" s="285"/>
      <c r="J1" s="285"/>
      <c r="K1" s="285"/>
      <c r="L1" s="285"/>
    </row>
    <row r="2" spans="1:13" ht="16.5" outlineLevel="1" x14ac:dyDescent="0.3">
      <c r="A2" s="217"/>
      <c r="B2" s="217"/>
      <c r="C2" s="286" t="s">
        <v>534</v>
      </c>
      <c r="D2" s="286"/>
      <c r="E2" s="286"/>
      <c r="F2" s="285"/>
      <c r="G2" s="285"/>
      <c r="H2" s="285"/>
      <c r="I2" s="285"/>
      <c r="J2" s="285"/>
      <c r="K2" s="285"/>
      <c r="L2" s="285"/>
    </row>
    <row r="3" spans="1:13" ht="15.75" outlineLevel="1" x14ac:dyDescent="0.25">
      <c r="A3" s="217"/>
      <c r="B3" s="217"/>
      <c r="E3" s="287" t="s">
        <v>535</v>
      </c>
      <c r="F3" s="287"/>
      <c r="G3" s="222"/>
      <c r="H3" s="222"/>
      <c r="I3" s="222"/>
      <c r="J3" s="222"/>
      <c r="K3" s="222"/>
      <c r="L3" s="222"/>
    </row>
    <row r="4" spans="1:13" ht="16.5" outlineLevel="1" x14ac:dyDescent="0.3">
      <c r="A4" s="217"/>
      <c r="B4" s="217"/>
      <c r="C4" s="223"/>
      <c r="D4" s="223"/>
      <c r="E4" s="224"/>
      <c r="F4" s="222"/>
      <c r="G4" s="222"/>
      <c r="H4" s="222"/>
      <c r="I4" s="222"/>
      <c r="J4" s="222"/>
      <c r="K4" s="222"/>
      <c r="L4" s="222"/>
    </row>
    <row r="5" spans="1:13" ht="18.75" outlineLevel="1" x14ac:dyDescent="0.3">
      <c r="C5" s="225" t="s">
        <v>541</v>
      </c>
      <c r="L5" s="226"/>
    </row>
    <row r="6" spans="1:13" ht="16.5" outlineLevel="1" x14ac:dyDescent="0.3">
      <c r="C6" s="230" t="s">
        <v>542</v>
      </c>
      <c r="L6" s="226"/>
    </row>
    <row r="7" spans="1:13" ht="18" customHeight="1" x14ac:dyDescent="0.2">
      <c r="A7" s="21" t="s">
        <v>302</v>
      </c>
      <c r="C7" s="288"/>
      <c r="D7" s="288"/>
      <c r="E7" s="288"/>
    </row>
    <row r="8" spans="1:13" x14ac:dyDescent="0.2">
      <c r="A8" s="21" t="s">
        <v>303</v>
      </c>
      <c r="C8" s="288" t="s">
        <v>536</v>
      </c>
      <c r="D8" s="288"/>
      <c r="E8" s="288"/>
      <c r="F8" s="289"/>
      <c r="G8" s="289"/>
      <c r="H8" s="289"/>
      <c r="I8" s="289"/>
      <c r="J8" s="289"/>
      <c r="K8" s="289"/>
      <c r="L8" s="289"/>
      <c r="M8" s="289"/>
    </row>
    <row r="9" spans="1:13" ht="18.75" customHeight="1" x14ac:dyDescent="0.2">
      <c r="A9" s="21"/>
      <c r="C9" s="218" t="s">
        <v>537</v>
      </c>
      <c r="D9" s="218"/>
      <c r="E9" s="218"/>
      <c r="F9" s="227"/>
      <c r="G9" s="227"/>
      <c r="H9" s="227"/>
      <c r="I9" s="227"/>
      <c r="J9" s="227"/>
      <c r="K9" s="227"/>
      <c r="L9" s="227"/>
      <c r="M9" s="227"/>
    </row>
    <row r="10" spans="1:13" x14ac:dyDescent="0.2">
      <c r="A10" s="21" t="s">
        <v>304</v>
      </c>
      <c r="C10" s="280" t="s">
        <v>538</v>
      </c>
      <c r="D10" s="280"/>
      <c r="E10" s="280"/>
      <c r="F10" s="280"/>
      <c r="G10" s="280"/>
      <c r="H10" s="280"/>
      <c r="I10" s="280"/>
      <c r="J10" s="280"/>
      <c r="K10" s="280"/>
      <c r="L10" s="280"/>
    </row>
    <row r="11" spans="1:13" x14ac:dyDescent="0.2">
      <c r="A11" s="21"/>
      <c r="C11" s="219"/>
      <c r="D11" s="218"/>
      <c r="E11" s="218"/>
    </row>
    <row r="12" spans="1:13" ht="16.5" x14ac:dyDescent="0.3">
      <c r="A12" s="228"/>
      <c r="B12" s="281" t="s">
        <v>539</v>
      </c>
      <c r="C12" s="281"/>
      <c r="D12" s="281"/>
      <c r="E12" s="281"/>
      <c r="F12" s="281"/>
      <c r="G12" s="281"/>
      <c r="H12" s="281"/>
      <c r="I12" s="281"/>
      <c r="J12" s="281"/>
      <c r="K12" s="281"/>
      <c r="L12" s="281"/>
      <c r="M12" s="229"/>
    </row>
    <row r="13" spans="1:13" ht="16.5" x14ac:dyDescent="0.3">
      <c r="A13" s="228"/>
      <c r="B13" s="281" t="s">
        <v>540</v>
      </c>
      <c r="C13" s="281"/>
      <c r="D13" s="281"/>
      <c r="E13" s="281"/>
      <c r="F13" s="281"/>
      <c r="G13" s="281"/>
      <c r="H13" s="281"/>
      <c r="I13" s="281"/>
      <c r="J13" s="281"/>
      <c r="K13" s="281"/>
      <c r="L13" s="281"/>
      <c r="M13" s="229"/>
    </row>
    <row r="14" spans="1:13" ht="16.5" customHeight="1" x14ac:dyDescent="0.2"/>
    <row r="15" spans="1:13" ht="13.5" outlineLevel="1" thickBot="1" x14ac:dyDescent="0.25">
      <c r="A15" s="16"/>
    </row>
    <row r="16" spans="1:13" ht="12.75" customHeight="1" x14ac:dyDescent="0.2">
      <c r="A16" s="291" t="s">
        <v>334</v>
      </c>
      <c r="B16" s="293" t="s">
        <v>335</v>
      </c>
      <c r="C16" s="293" t="s">
        <v>336</v>
      </c>
      <c r="D16" s="293" t="s">
        <v>337</v>
      </c>
      <c r="E16" s="297" t="s">
        <v>338</v>
      </c>
    </row>
    <row r="17" spans="1:253" x14ac:dyDescent="0.2">
      <c r="A17" s="292"/>
      <c r="B17" s="294"/>
      <c r="C17" s="294"/>
      <c r="D17" s="294"/>
      <c r="E17" s="298"/>
    </row>
    <row r="18" spans="1:253" x14ac:dyDescent="0.2">
      <c r="A18" s="292"/>
      <c r="B18" s="294"/>
      <c r="C18" s="294"/>
      <c r="D18" s="294"/>
      <c r="E18" s="298"/>
    </row>
    <row r="19" spans="1:253" ht="13.5" thickBot="1" x14ac:dyDescent="0.25">
      <c r="A19" s="292"/>
      <c r="B19" s="294"/>
      <c r="C19" s="294"/>
      <c r="D19" s="294"/>
      <c r="E19" s="299"/>
    </row>
    <row r="20" spans="1:253" ht="13.5" thickBot="1" x14ac:dyDescent="0.25">
      <c r="A20" s="49">
        <v>1</v>
      </c>
      <c r="B20" s="49">
        <v>2</v>
      </c>
      <c r="C20" s="49">
        <v>3</v>
      </c>
      <c r="D20" s="49">
        <v>4</v>
      </c>
      <c r="E20" s="49">
        <v>5</v>
      </c>
    </row>
    <row r="21" spans="1:253" x14ac:dyDescent="0.2">
      <c r="A21" s="50"/>
      <c r="B21" s="50"/>
      <c r="C21" s="50"/>
      <c r="D21" s="50"/>
      <c r="E21" s="50"/>
    </row>
    <row r="22" spans="1:253" ht="24" x14ac:dyDescent="0.2">
      <c r="A22" s="51"/>
      <c r="B22" s="51"/>
      <c r="C22" s="290" t="s">
        <v>18</v>
      </c>
      <c r="D22" s="290"/>
      <c r="E22" s="290"/>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52" t="str">
        <f>C22</f>
        <v>Квартиры типа "White Box" №№ 83, 8, 37, 65, 190, 177, 152, 91, 70, 124, 56, 156, 99, 136, 131, 174, 164, 68, 161, 80, 105, 73, 178, 141, 23, 50, 115, 187, 193, 67, 199, 53, 184, 179, 78, 2(ШОУРУМ).</v>
      </c>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row>
    <row r="24" spans="1:253" x14ac:dyDescent="0.2">
      <c r="A24" s="51"/>
      <c r="B24" s="51"/>
      <c r="C24" s="290" t="s">
        <v>19</v>
      </c>
      <c r="D24" s="290"/>
      <c r="E24" s="290"/>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52" t="str">
        <f>C24</f>
        <v>Потолок</v>
      </c>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row>
    <row r="25" spans="1:253" ht="13.5" thickBot="1" x14ac:dyDescent="0.25"/>
    <row r="26" spans="1:253" ht="13.5" thickBot="1" x14ac:dyDescent="0.25">
      <c r="A26" s="54">
        <v>1</v>
      </c>
      <c r="B26" s="62" t="s">
        <v>21</v>
      </c>
      <c r="C26" s="55" t="s">
        <v>22</v>
      </c>
      <c r="D26" s="56" t="s">
        <v>23</v>
      </c>
      <c r="E26" s="57">
        <v>19.164000000000001</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row>
    <row r="27" spans="1:253" x14ac:dyDescent="0.2">
      <c r="A27" s="50"/>
      <c r="B27" s="50"/>
      <c r="C27" s="50"/>
      <c r="D27" s="50"/>
      <c r="E27" s="50"/>
    </row>
    <row r="28" spans="1:253" x14ac:dyDescent="0.2">
      <c r="A28" s="51"/>
      <c r="B28" s="51"/>
      <c r="C28" s="290" t="s">
        <v>47</v>
      </c>
      <c r="D28" s="290"/>
      <c r="E28" s="290"/>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52" t="str">
        <f>C28</f>
        <v>Стены</v>
      </c>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row>
    <row r="29" spans="1:253" ht="13.5" thickBot="1" x14ac:dyDescent="0.25"/>
    <row r="30" spans="1:253" x14ac:dyDescent="0.2">
      <c r="A30" s="54">
        <v>2</v>
      </c>
      <c r="B30" s="62" t="s">
        <v>48</v>
      </c>
      <c r="C30" s="55" t="s">
        <v>49</v>
      </c>
      <c r="D30" s="56" t="s">
        <v>50</v>
      </c>
      <c r="E30" s="57">
        <v>27.713000000000001</v>
      </c>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row>
    <row r="31" spans="1:253" ht="24" x14ac:dyDescent="0.2">
      <c r="A31" s="127">
        <v>3</v>
      </c>
      <c r="B31" s="134" t="s">
        <v>57</v>
      </c>
      <c r="C31" s="128" t="s">
        <v>58</v>
      </c>
      <c r="D31" s="129" t="s">
        <v>50</v>
      </c>
      <c r="E31" s="130">
        <v>29.483000000000001</v>
      </c>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row>
    <row r="32" spans="1:253" x14ac:dyDescent="0.2">
      <c r="A32" s="127">
        <v>4</v>
      </c>
      <c r="B32" s="134" t="s">
        <v>79</v>
      </c>
      <c r="C32" s="128" t="s">
        <v>80</v>
      </c>
      <c r="D32" s="129" t="s">
        <v>50</v>
      </c>
      <c r="E32" s="130">
        <v>29.483000000000001</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row>
    <row r="33" spans="1:253" x14ac:dyDescent="0.2">
      <c r="A33" s="127">
        <v>5</v>
      </c>
      <c r="B33" s="134" t="s">
        <v>48</v>
      </c>
      <c r="C33" s="128" t="s">
        <v>91</v>
      </c>
      <c r="D33" s="129" t="s">
        <v>50</v>
      </c>
      <c r="E33" s="130">
        <v>20.509</v>
      </c>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row>
    <row r="34" spans="1:253" x14ac:dyDescent="0.2">
      <c r="A34" s="127">
        <v>6</v>
      </c>
      <c r="B34" s="134" t="s">
        <v>79</v>
      </c>
      <c r="C34" s="128" t="s">
        <v>80</v>
      </c>
      <c r="D34" s="129" t="s">
        <v>50</v>
      </c>
      <c r="E34" s="130">
        <v>20.509</v>
      </c>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row>
    <row r="35" spans="1:253" ht="13.5" thickBot="1" x14ac:dyDescent="0.25">
      <c r="A35" s="127">
        <v>7</v>
      </c>
      <c r="B35" s="134" t="s">
        <v>100</v>
      </c>
      <c r="C35" s="128" t="s">
        <v>101</v>
      </c>
      <c r="D35" s="129" t="s">
        <v>23</v>
      </c>
      <c r="E35" s="130">
        <v>4.7140000000000004</v>
      </c>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row>
    <row r="36" spans="1:253" x14ac:dyDescent="0.2">
      <c r="A36" s="136"/>
      <c r="B36" s="136"/>
      <c r="C36" s="137"/>
      <c r="D36" s="137"/>
      <c r="E36" s="137"/>
      <c r="N36" s="23"/>
      <c r="O36" s="23">
        <f>SUM(Q21:Q35)</f>
        <v>0</v>
      </c>
      <c r="P36" s="23"/>
      <c r="Q36" s="23"/>
      <c r="R36" s="23"/>
      <c r="S36" s="23"/>
      <c r="T36" s="23"/>
      <c r="U36" s="23"/>
    </row>
    <row r="38" spans="1:253" x14ac:dyDescent="0.2">
      <c r="A38" s="51"/>
      <c r="B38" s="51"/>
      <c r="C38" s="290" t="s">
        <v>18</v>
      </c>
      <c r="D38" s="290"/>
      <c r="E38" s="290"/>
    </row>
    <row r="40" spans="1:253" x14ac:dyDescent="0.2">
      <c r="A40" s="295" t="s">
        <v>504</v>
      </c>
      <c r="B40" s="295"/>
      <c r="C40" s="296" t="s">
        <v>505</v>
      </c>
      <c r="D40" s="296"/>
      <c r="E40" s="296"/>
    </row>
    <row r="41" spans="1:253" ht="13.5" thickBot="1" x14ac:dyDescent="0.25"/>
    <row r="42" spans="1:253" x14ac:dyDescent="0.2">
      <c r="A42" s="54">
        <v>1</v>
      </c>
      <c r="B42" s="62" t="s">
        <v>506</v>
      </c>
      <c r="C42" s="55" t="s">
        <v>507</v>
      </c>
      <c r="D42" s="56" t="s">
        <v>508</v>
      </c>
      <c r="E42" s="57">
        <v>1.375</v>
      </c>
    </row>
    <row r="43" spans="1:253" ht="35.25" x14ac:dyDescent="0.2">
      <c r="A43" s="127">
        <v>2</v>
      </c>
      <c r="B43" s="134" t="s">
        <v>510</v>
      </c>
      <c r="C43" s="128" t="s">
        <v>511</v>
      </c>
      <c r="D43" s="129" t="s">
        <v>512</v>
      </c>
      <c r="E43" s="130">
        <v>2.3149999999999999</v>
      </c>
    </row>
    <row r="44" spans="1:253" ht="24" x14ac:dyDescent="0.2">
      <c r="A44" s="127">
        <v>3</v>
      </c>
      <c r="B44" s="134" t="s">
        <v>513</v>
      </c>
      <c r="C44" s="128" t="s">
        <v>514</v>
      </c>
      <c r="D44" s="129" t="s">
        <v>515</v>
      </c>
      <c r="E44" s="130">
        <v>0.72</v>
      </c>
    </row>
    <row r="45" spans="1:253" ht="24" x14ac:dyDescent="0.2">
      <c r="A45" s="127">
        <v>4</v>
      </c>
      <c r="B45" s="134" t="s">
        <v>516</v>
      </c>
      <c r="C45" s="128" t="s">
        <v>517</v>
      </c>
      <c r="D45" s="129" t="s">
        <v>518</v>
      </c>
      <c r="E45" s="130">
        <v>1.677</v>
      </c>
    </row>
    <row r="46" spans="1:253" x14ac:dyDescent="0.2">
      <c r="A46" s="127">
        <v>5</v>
      </c>
      <c r="B46" s="134" t="s">
        <v>519</v>
      </c>
      <c r="C46" s="128" t="s">
        <v>520</v>
      </c>
      <c r="D46" s="129" t="s">
        <v>508</v>
      </c>
      <c r="E46" s="130">
        <v>4.758</v>
      </c>
    </row>
    <row r="47" spans="1:253" ht="13.5" thickBot="1" x14ac:dyDescent="0.25">
      <c r="A47" s="127">
        <v>6</v>
      </c>
      <c r="B47" s="134" t="s">
        <v>519</v>
      </c>
      <c r="C47" s="128" t="s">
        <v>521</v>
      </c>
      <c r="D47" s="129" t="s">
        <v>508</v>
      </c>
      <c r="E47" s="130">
        <v>4.758</v>
      </c>
    </row>
    <row r="48" spans="1:253" x14ac:dyDescent="0.2">
      <c r="A48" s="136"/>
      <c r="B48" s="136"/>
      <c r="C48" s="137"/>
      <c r="D48" s="137"/>
      <c r="E48" s="137"/>
    </row>
    <row r="49" spans="1:5" ht="13.5" thickBot="1" x14ac:dyDescent="0.25"/>
    <row r="50" spans="1:5" x14ac:dyDescent="0.2">
      <c r="A50" s="291" t="s">
        <v>334</v>
      </c>
      <c r="B50" s="293" t="s">
        <v>335</v>
      </c>
      <c r="C50" s="293" t="s">
        <v>336</v>
      </c>
      <c r="D50" s="293" t="s">
        <v>337</v>
      </c>
      <c r="E50" s="293" t="s">
        <v>338</v>
      </c>
    </row>
    <row r="51" spans="1:5" x14ac:dyDescent="0.2">
      <c r="A51" s="292"/>
      <c r="B51" s="294"/>
      <c r="C51" s="294"/>
      <c r="D51" s="294"/>
      <c r="E51" s="294"/>
    </row>
    <row r="52" spans="1:5" x14ac:dyDescent="0.2">
      <c r="A52" s="292"/>
      <c r="B52" s="294"/>
      <c r="C52" s="294"/>
      <c r="D52" s="294"/>
      <c r="E52" s="294"/>
    </row>
    <row r="53" spans="1:5" ht="13.5" thickBot="1" x14ac:dyDescent="0.25">
      <c r="A53" s="292"/>
      <c r="B53" s="294"/>
      <c r="C53" s="294"/>
      <c r="D53" s="294"/>
      <c r="E53" s="294"/>
    </row>
    <row r="54" spans="1:5" ht="13.5" thickBot="1" x14ac:dyDescent="0.25">
      <c r="A54" s="49">
        <v>1</v>
      </c>
      <c r="B54" s="49">
        <v>2</v>
      </c>
      <c r="C54" s="49">
        <v>3</v>
      </c>
      <c r="D54" s="49">
        <v>4</v>
      </c>
      <c r="E54" s="49">
        <v>5</v>
      </c>
    </row>
    <row r="55" spans="1:5" x14ac:dyDescent="0.2">
      <c r="A55" s="50"/>
      <c r="B55" s="50"/>
      <c r="C55" s="50"/>
      <c r="D55" s="50"/>
      <c r="E55" s="50"/>
    </row>
    <row r="56" spans="1:5" x14ac:dyDescent="0.2">
      <c r="A56" s="51"/>
      <c r="B56" s="51"/>
      <c r="C56" s="290" t="s">
        <v>18</v>
      </c>
      <c r="D56" s="290"/>
      <c r="E56" s="290"/>
    </row>
    <row r="58" spans="1:5" x14ac:dyDescent="0.2">
      <c r="A58" s="51"/>
      <c r="B58" s="51"/>
      <c r="C58" s="290" t="s">
        <v>523</v>
      </c>
      <c r="D58" s="290"/>
      <c r="E58" s="290"/>
    </row>
    <row r="59" spans="1:5" ht="13.5" thickBot="1" x14ac:dyDescent="0.25"/>
    <row r="60" spans="1:5" ht="24" x14ac:dyDescent="0.2">
      <c r="A60" s="54">
        <v>1</v>
      </c>
      <c r="B60" s="62" t="s">
        <v>524</v>
      </c>
      <c r="C60" s="55" t="s">
        <v>531</v>
      </c>
      <c r="D60" s="56" t="s">
        <v>509</v>
      </c>
      <c r="E60" s="57">
        <v>-36</v>
      </c>
    </row>
    <row r="61" spans="1:5" ht="13.5" thickBot="1" x14ac:dyDescent="0.25">
      <c r="A61" s="127">
        <v>2</v>
      </c>
      <c r="B61" s="134" t="s">
        <v>525</v>
      </c>
      <c r="C61" s="128" t="s">
        <v>532</v>
      </c>
      <c r="D61" s="129" t="s">
        <v>526</v>
      </c>
      <c r="E61" s="130">
        <v>-0.36</v>
      </c>
    </row>
    <row r="62" spans="1:5" x14ac:dyDescent="0.2">
      <c r="A62" s="50"/>
      <c r="B62" s="50"/>
      <c r="C62" s="50"/>
      <c r="D62" s="50"/>
      <c r="E62" s="50"/>
    </row>
    <row r="63" spans="1:5" x14ac:dyDescent="0.2">
      <c r="A63" s="51"/>
      <c r="B63" s="51"/>
      <c r="C63" s="290" t="s">
        <v>527</v>
      </c>
      <c r="D63" s="290"/>
      <c r="E63" s="290"/>
    </row>
    <row r="64" spans="1:5" ht="13.5" thickBot="1" x14ac:dyDescent="0.25"/>
    <row r="65" spans="1:7" ht="13.5" thickBot="1" x14ac:dyDescent="0.25">
      <c r="A65" s="54">
        <v>3</v>
      </c>
      <c r="B65" s="62" t="s">
        <v>528</v>
      </c>
      <c r="C65" s="55" t="s">
        <v>529</v>
      </c>
      <c r="D65" s="56" t="s">
        <v>530</v>
      </c>
      <c r="E65" s="57">
        <v>72.63</v>
      </c>
    </row>
    <row r="66" spans="1:7" x14ac:dyDescent="0.2">
      <c r="A66" s="136"/>
      <c r="B66" s="136"/>
      <c r="C66" s="137" t="s">
        <v>367</v>
      </c>
      <c r="D66" s="137">
        <v>395127.12</v>
      </c>
      <c r="E66" s="137" t="s">
        <v>522</v>
      </c>
    </row>
    <row r="69" spans="1:7" x14ac:dyDescent="0.2">
      <c r="C69" s="220"/>
      <c r="D69" s="221"/>
      <c r="E69" s="220"/>
    </row>
    <row r="71" spans="1:7" ht="16.5" x14ac:dyDescent="0.3">
      <c r="B71" s="282" t="s">
        <v>543</v>
      </c>
      <c r="C71" s="282"/>
      <c r="D71" s="282"/>
      <c r="E71" s="231"/>
      <c r="F71" s="232"/>
    </row>
    <row r="72" spans="1:7" ht="12.75" customHeight="1" x14ac:dyDescent="0.3">
      <c r="B72" s="233" t="s">
        <v>544</v>
      </c>
      <c r="C72" s="233"/>
      <c r="D72" s="233"/>
      <c r="E72" s="231"/>
      <c r="F72" s="232"/>
    </row>
    <row r="73" spans="1:7" ht="16.5" customHeight="1" x14ac:dyDescent="0.3">
      <c r="B73" s="234" t="s">
        <v>545</v>
      </c>
      <c r="C73" s="235"/>
      <c r="D73" s="235"/>
      <c r="E73" s="236"/>
      <c r="F73" s="237"/>
      <c r="G73" s="237"/>
    </row>
    <row r="74" spans="1:7" ht="28.5" customHeight="1" x14ac:dyDescent="0.2">
      <c r="B74" s="283" t="s">
        <v>546</v>
      </c>
      <c r="C74" s="283"/>
      <c r="D74" s="283"/>
      <c r="E74" s="283"/>
      <c r="F74" s="283"/>
      <c r="G74" s="283"/>
    </row>
    <row r="75" spans="1:7" ht="16.5" customHeight="1" x14ac:dyDescent="0.3">
      <c r="B75" s="234" t="s">
        <v>547</v>
      </c>
      <c r="C75" s="235"/>
      <c r="D75" s="235"/>
      <c r="E75" s="236"/>
      <c r="F75" s="237"/>
      <c r="G75" s="237"/>
    </row>
    <row r="76" spans="1:7" ht="19.5" customHeight="1" x14ac:dyDescent="0.3">
      <c r="B76" s="234" t="s">
        <v>548</v>
      </c>
      <c r="C76" s="235"/>
      <c r="D76" s="235"/>
      <c r="E76" s="236"/>
      <c r="F76" s="237"/>
      <c r="G76" s="237"/>
    </row>
    <row r="77" spans="1:7" ht="30" customHeight="1" x14ac:dyDescent="0.3">
      <c r="B77" s="278" t="s">
        <v>549</v>
      </c>
      <c r="C77" s="278"/>
      <c r="D77" s="278"/>
      <c r="E77" s="278"/>
      <c r="F77" s="237"/>
      <c r="G77" s="237"/>
    </row>
    <row r="78" spans="1:7" ht="22.5" customHeight="1" x14ac:dyDescent="0.3">
      <c r="B78" s="234" t="s">
        <v>550</v>
      </c>
      <c r="C78" s="235"/>
      <c r="D78" s="235"/>
      <c r="E78" s="236"/>
      <c r="F78" s="237"/>
      <c r="G78" s="237"/>
    </row>
    <row r="79" spans="1:7" ht="16.5" customHeight="1" x14ac:dyDescent="0.3">
      <c r="B79" s="234" t="s">
        <v>551</v>
      </c>
      <c r="C79" s="235"/>
      <c r="D79" s="235"/>
      <c r="E79" s="236"/>
      <c r="F79" s="237"/>
      <c r="G79" s="237"/>
    </row>
    <row r="80" spans="1:7" ht="19.5" customHeight="1" x14ac:dyDescent="0.3">
      <c r="B80" s="234" t="s">
        <v>552</v>
      </c>
      <c r="C80" s="235"/>
      <c r="D80" s="235"/>
      <c r="E80" s="236"/>
      <c r="F80" s="237"/>
      <c r="G80" s="237"/>
    </row>
    <row r="81" spans="2:7" ht="40.5" customHeight="1" x14ac:dyDescent="0.3">
      <c r="B81" s="234" t="s">
        <v>553</v>
      </c>
      <c r="C81" s="235"/>
      <c r="D81" s="235"/>
      <c r="E81" s="236"/>
      <c r="F81" s="237"/>
      <c r="G81" s="237"/>
    </row>
    <row r="82" spans="2:7" ht="43.5" customHeight="1" x14ac:dyDescent="0.3">
      <c r="B82" s="279" t="s">
        <v>554</v>
      </c>
      <c r="C82" s="279"/>
      <c r="D82" s="279"/>
      <c r="E82" s="279"/>
      <c r="F82" s="279"/>
      <c r="G82" s="237"/>
    </row>
    <row r="83" spans="2:7" ht="44.25" customHeight="1" x14ac:dyDescent="0.3">
      <c r="B83" s="279" t="s">
        <v>555</v>
      </c>
      <c r="C83" s="279"/>
      <c r="D83" s="279"/>
      <c r="E83" s="279"/>
      <c r="F83" s="279"/>
      <c r="G83" s="237"/>
    </row>
    <row r="84" spans="2:7" ht="86.25" customHeight="1" x14ac:dyDescent="0.3">
      <c r="B84" s="279" t="s">
        <v>556</v>
      </c>
      <c r="C84" s="279"/>
      <c r="D84" s="279"/>
      <c r="E84" s="279"/>
      <c r="F84" s="279"/>
      <c r="G84" s="279"/>
    </row>
    <row r="85" spans="2:7" ht="16.5" customHeight="1" x14ac:dyDescent="0.3">
      <c r="B85" s="238" t="s">
        <v>557</v>
      </c>
      <c r="C85" s="235"/>
      <c r="D85" s="235"/>
      <c r="E85" s="236"/>
      <c r="F85" s="237"/>
      <c r="G85" s="237"/>
    </row>
    <row r="86" spans="2:7" ht="14.25" customHeight="1" x14ac:dyDescent="0.3">
      <c r="B86" s="273" t="s">
        <v>558</v>
      </c>
      <c r="C86" s="273"/>
      <c r="D86" s="273"/>
      <c r="E86" s="273"/>
      <c r="F86" s="237"/>
      <c r="G86" s="237"/>
    </row>
    <row r="87" spans="2:7" ht="16.5" x14ac:dyDescent="0.3">
      <c r="B87" s="239" t="s">
        <v>559</v>
      </c>
      <c r="C87" s="239"/>
      <c r="D87" s="239"/>
      <c r="E87" s="239"/>
      <c r="F87" s="237"/>
      <c r="G87" s="237"/>
    </row>
    <row r="88" spans="2:7" ht="16.5" customHeight="1" x14ac:dyDescent="0.3">
      <c r="B88" s="239" t="s">
        <v>560</v>
      </c>
      <c r="C88" s="239"/>
      <c r="D88" s="239"/>
      <c r="E88" s="239"/>
      <c r="F88" s="237"/>
      <c r="G88" s="237"/>
    </row>
    <row r="89" spans="2:7" ht="16.5" x14ac:dyDescent="0.3">
      <c r="B89" s="275" t="s">
        <v>561</v>
      </c>
      <c r="C89" s="275"/>
      <c r="D89" s="275"/>
      <c r="E89" s="275"/>
      <c r="F89" s="237"/>
      <c r="G89" s="237"/>
    </row>
    <row r="90" spans="2:7" ht="16.5" x14ac:dyDescent="0.3">
      <c r="B90" s="273" t="s">
        <v>562</v>
      </c>
      <c r="C90" s="276"/>
      <c r="D90" s="240"/>
      <c r="E90" s="240"/>
      <c r="F90" s="237"/>
      <c r="G90" s="237"/>
    </row>
    <row r="91" spans="2:7" ht="53.25" customHeight="1" x14ac:dyDescent="0.2">
      <c r="B91" s="275" t="s">
        <v>563</v>
      </c>
      <c r="C91" s="275"/>
      <c r="D91" s="275"/>
      <c r="E91" s="275"/>
      <c r="F91" s="275"/>
      <c r="G91" s="275"/>
    </row>
    <row r="92" spans="2:7" ht="16.5" customHeight="1" x14ac:dyDescent="0.3">
      <c r="B92" s="241" t="s">
        <v>564</v>
      </c>
      <c r="C92" s="241"/>
      <c r="D92" s="242"/>
      <c r="E92" s="242"/>
      <c r="F92" s="242"/>
      <c r="G92" s="242"/>
    </row>
    <row r="93" spans="2:7" ht="16.5" x14ac:dyDescent="0.3">
      <c r="B93" s="277" t="s">
        <v>565</v>
      </c>
      <c r="C93" s="277"/>
      <c r="D93" s="277"/>
      <c r="E93" s="243"/>
      <c r="F93" s="237"/>
      <c r="G93" s="237"/>
    </row>
    <row r="94" spans="2:7" ht="27" customHeight="1" x14ac:dyDescent="0.3">
      <c r="B94" s="239" t="s">
        <v>566</v>
      </c>
      <c r="C94" s="239"/>
      <c r="D94" s="239"/>
      <c r="E94" s="243"/>
      <c r="F94" s="237"/>
      <c r="G94" s="237"/>
    </row>
    <row r="95" spans="2:7" ht="16.5" x14ac:dyDescent="0.3">
      <c r="B95" s="244" t="s">
        <v>567</v>
      </c>
      <c r="C95" s="244"/>
      <c r="D95" s="244"/>
      <c r="E95" s="245"/>
      <c r="F95" s="237"/>
      <c r="G95" s="237"/>
    </row>
    <row r="96" spans="2:7" ht="16.5" x14ac:dyDescent="0.3">
      <c r="B96" s="244" t="s">
        <v>568</v>
      </c>
      <c r="C96" s="244"/>
      <c r="D96" s="244"/>
      <c r="E96" s="245"/>
      <c r="F96" s="237"/>
      <c r="G96" s="237"/>
    </row>
    <row r="97" spans="2:7" ht="16.5" x14ac:dyDescent="0.3">
      <c r="B97" s="244" t="s">
        <v>569</v>
      </c>
      <c r="C97" s="244"/>
      <c r="D97" s="244"/>
      <c r="E97" s="245"/>
      <c r="F97" s="237"/>
      <c r="G97" s="237"/>
    </row>
    <row r="98" spans="2:7" ht="16.5" x14ac:dyDescent="0.3">
      <c r="B98" s="244" t="s">
        <v>570</v>
      </c>
      <c r="C98" s="244"/>
      <c r="D98" s="244"/>
      <c r="E98" s="245"/>
      <c r="F98" s="237"/>
      <c r="G98" s="237"/>
    </row>
    <row r="99" spans="2:7" ht="16.5" x14ac:dyDescent="0.3">
      <c r="B99" s="244" t="s">
        <v>571</v>
      </c>
      <c r="C99" s="244"/>
      <c r="D99" s="244"/>
      <c r="E99" s="245"/>
      <c r="F99" s="237"/>
      <c r="G99" s="237"/>
    </row>
    <row r="100" spans="2:7" ht="16.5" x14ac:dyDescent="0.3">
      <c r="B100" s="244" t="s">
        <v>572</v>
      </c>
      <c r="C100" s="244"/>
      <c r="D100" s="244"/>
      <c r="E100" s="245"/>
      <c r="F100" s="237"/>
      <c r="G100" s="237"/>
    </row>
    <row r="101" spans="2:7" ht="16.5" x14ac:dyDescent="0.3">
      <c r="B101" s="244" t="s">
        <v>573</v>
      </c>
      <c r="C101" s="244"/>
      <c r="D101" s="244"/>
      <c r="E101" s="245"/>
      <c r="F101" s="237"/>
      <c r="G101" s="237"/>
    </row>
    <row r="102" spans="2:7" ht="16.5" x14ac:dyDescent="0.3">
      <c r="B102" s="244" t="s">
        <v>574</v>
      </c>
      <c r="C102" s="244"/>
      <c r="D102" s="244"/>
      <c r="E102" s="245"/>
      <c r="F102" s="237"/>
      <c r="G102" s="237"/>
    </row>
    <row r="103" spans="2:7" ht="16.5" x14ac:dyDescent="0.3">
      <c r="B103" s="275" t="s">
        <v>575</v>
      </c>
      <c r="C103" s="275"/>
      <c r="D103" s="275"/>
      <c r="E103" s="275"/>
      <c r="F103" s="237"/>
      <c r="G103" s="237"/>
    </row>
    <row r="104" spans="2:7" ht="16.5" customHeight="1" x14ac:dyDescent="0.3">
      <c r="B104" s="273" t="s">
        <v>576</v>
      </c>
      <c r="C104" s="273"/>
      <c r="D104" s="273"/>
      <c r="E104" s="273"/>
      <c r="F104" s="237"/>
      <c r="G104" s="237"/>
    </row>
    <row r="105" spans="2:7" ht="16.5" x14ac:dyDescent="0.2">
      <c r="B105" s="274"/>
      <c r="C105" s="274"/>
      <c r="D105" s="274"/>
      <c r="E105" s="274"/>
      <c r="F105" s="274"/>
    </row>
    <row r="106" spans="2:7" ht="16.5" x14ac:dyDescent="0.3">
      <c r="B106" s="246"/>
      <c r="C106" s="246"/>
      <c r="D106" s="246"/>
      <c r="E106" s="247"/>
      <c r="F106" s="247"/>
    </row>
    <row r="107" spans="2:7" ht="16.5" x14ac:dyDescent="0.3">
      <c r="B107" s="248" t="s">
        <v>577</v>
      </c>
      <c r="C107" s="249"/>
      <c r="D107" s="249"/>
      <c r="E107" s="250" t="s">
        <v>578</v>
      </c>
      <c r="F107" s="251"/>
    </row>
  </sheetData>
  <mergeCells count="41">
    <mergeCell ref="C16:C19"/>
    <mergeCell ref="D16:D19"/>
    <mergeCell ref="E16:E19"/>
    <mergeCell ref="A50:A53"/>
    <mergeCell ref="B50:B53"/>
    <mergeCell ref="C50:C53"/>
    <mergeCell ref="D50:D53"/>
    <mergeCell ref="E50:E53"/>
    <mergeCell ref="C1:L1"/>
    <mergeCell ref="C2:L2"/>
    <mergeCell ref="E3:F3"/>
    <mergeCell ref="C7:E7"/>
    <mergeCell ref="C8:M8"/>
    <mergeCell ref="C10:L10"/>
    <mergeCell ref="B12:L12"/>
    <mergeCell ref="B13:L13"/>
    <mergeCell ref="B71:D71"/>
    <mergeCell ref="B74:G74"/>
    <mergeCell ref="C56:E56"/>
    <mergeCell ref="C58:E58"/>
    <mergeCell ref="C63:E63"/>
    <mergeCell ref="C22:E22"/>
    <mergeCell ref="C24:E24"/>
    <mergeCell ref="C28:E28"/>
    <mergeCell ref="C38:E38"/>
    <mergeCell ref="A40:B40"/>
    <mergeCell ref="C40:E40"/>
    <mergeCell ref="A16:A19"/>
    <mergeCell ref="B16:B19"/>
    <mergeCell ref="B77:E77"/>
    <mergeCell ref="B82:F82"/>
    <mergeCell ref="B83:F83"/>
    <mergeCell ref="B84:G84"/>
    <mergeCell ref="B86:E86"/>
    <mergeCell ref="B104:E104"/>
    <mergeCell ref="B105:F105"/>
    <mergeCell ref="B89:E89"/>
    <mergeCell ref="B90:C90"/>
    <mergeCell ref="B91:G91"/>
    <mergeCell ref="B93:D93"/>
    <mergeCell ref="B103:E103"/>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65"/>
  <sheetViews>
    <sheetView workbookViewId="0"/>
  </sheetViews>
  <sheetFormatPr defaultRowHeight="12.75" x14ac:dyDescent="0.2"/>
  <sheetData>
    <row r="1" spans="1:255" x14ac:dyDescent="0.2">
      <c r="B1" t="s">
        <v>281</v>
      </c>
    </row>
    <row r="3" spans="1:255" x14ac:dyDescent="0.2">
      <c r="A3">
        <v>3</v>
      </c>
      <c r="B3" t="s">
        <v>282</v>
      </c>
    </row>
    <row r="4" spans="1:255" x14ac:dyDescent="0.2">
      <c r="A4">
        <v>1</v>
      </c>
      <c r="B4" t="s">
        <v>283</v>
      </c>
    </row>
    <row r="5" spans="1:255" x14ac:dyDescent="0.2">
      <c r="A5">
        <v>0</v>
      </c>
      <c r="B5" t="s">
        <v>284</v>
      </c>
    </row>
    <row r="6" spans="1:255" x14ac:dyDescent="0.2">
      <c r="A6">
        <v>2</v>
      </c>
      <c r="B6" t="s">
        <v>285</v>
      </c>
    </row>
    <row r="7" spans="1:255" x14ac:dyDescent="0.2">
      <c r="A7">
        <v>0</v>
      </c>
      <c r="B7" t="s">
        <v>286</v>
      </c>
    </row>
    <row r="8" spans="1:255" x14ac:dyDescent="0.2">
      <c r="A8">
        <v>2</v>
      </c>
      <c r="B8" t="s">
        <v>287</v>
      </c>
    </row>
    <row r="9" spans="1:255" x14ac:dyDescent="0.2">
      <c r="A9">
        <v>0</v>
      </c>
      <c r="B9" t="s">
        <v>288</v>
      </c>
    </row>
    <row r="13" spans="1:255" x14ac:dyDescent="0.2">
      <c r="A13">
        <v>3</v>
      </c>
      <c r="B13" t="s">
        <v>345</v>
      </c>
      <c r="D13" t="s">
        <v>346</v>
      </c>
      <c r="F13" t="s">
        <v>347</v>
      </c>
    </row>
    <row r="14" spans="1:255" x14ac:dyDescent="0.2">
      <c r="A14">
        <v>513</v>
      </c>
      <c r="B14" t="s">
        <v>368</v>
      </c>
      <c r="D14" t="s">
        <v>346</v>
      </c>
      <c r="F14" t="s">
        <v>347</v>
      </c>
      <c r="AY14" t="e">
        <f>SUM('2.Лок.смета.и.Акт'!AQ21:'2.Лок.смета.и.Акт'!#REF!)</f>
        <v>#REF!</v>
      </c>
      <c r="AZ14" t="e">
        <f>SUM('2.Лок.смета.и.Акт'!AR21:'2.Лок.смета.и.Акт'!#REF!)</f>
        <v>#REF!</v>
      </c>
      <c r="BA14" t="e">
        <f>SUM('2.Лок.смета.и.Акт'!AS21:'2.Лок.смета.и.Акт'!#REF!)</f>
        <v>#REF!</v>
      </c>
      <c r="BB14" t="e">
        <f>SUM('2.Лок.смета.и.Акт'!AT21:'2.Лок.смета.и.Акт'!#REF!)</f>
        <v>#REF!</v>
      </c>
      <c r="BC14" t="e">
        <f>SUM('2.Лок.смета.и.Акт'!AU21:'2.Лок.смета.и.Акт'!#REF!)</f>
        <v>#REF!</v>
      </c>
      <c r="BD14" t="e">
        <f>SUM('2.Лок.смета.и.Акт'!AV21:'2.Лок.смета.и.Акт'!#REF!)</f>
        <v>#REF!</v>
      </c>
      <c r="CW14" t="e">
        <f>Source!DM82</f>
        <v>#REF!</v>
      </c>
      <c r="CX14">
        <f>Source!DN82</f>
        <v>2.3105000000000007</v>
      </c>
      <c r="CY14">
        <f>Source!DG82</f>
        <v>642292</v>
      </c>
      <c r="CZ14">
        <f>Source!DK82</f>
        <v>473686</v>
      </c>
      <c r="DA14">
        <f>Source!DI82</f>
        <v>9086</v>
      </c>
      <c r="DB14">
        <f>Source!DJ82</f>
        <v>768</v>
      </c>
      <c r="DC14">
        <f>Source!DH82</f>
        <v>159520</v>
      </c>
      <c r="DD14">
        <f>Source!EG82</f>
        <v>0</v>
      </c>
      <c r="DE14">
        <f>Source!EN82</f>
        <v>159520</v>
      </c>
      <c r="DF14">
        <f>Source!EO82</f>
        <v>159520</v>
      </c>
      <c r="DG14">
        <f>Source!EP82</f>
        <v>0</v>
      </c>
      <c r="DH14">
        <f>Source!EQ82</f>
        <v>159520</v>
      </c>
      <c r="DI14">
        <f>Source!EH82</f>
        <v>0</v>
      </c>
      <c r="DJ14">
        <f>Source!EI82</f>
        <v>0</v>
      </c>
      <c r="DK14">
        <f>Source!ER82</f>
        <v>0</v>
      </c>
      <c r="DL14">
        <f>Source!DL82</f>
        <v>0</v>
      </c>
      <c r="DM14">
        <f>Source!DO82</f>
        <v>16</v>
      </c>
      <c r="DN14" t="e">
        <f>Source!DP82</f>
        <v>#REF!</v>
      </c>
      <c r="DO14" t="e">
        <f>Source!DQ82</f>
        <v>#REF!</v>
      </c>
      <c r="DP14" t="e">
        <f>Source!EJ82</f>
        <v>#REF!</v>
      </c>
      <c r="DQ14" t="e">
        <f>Source!EK82</f>
        <v>#REF!</v>
      </c>
      <c r="DR14">
        <f>Source!EL82</f>
        <v>0</v>
      </c>
      <c r="DS14">
        <f>Source!EH82</f>
        <v>0</v>
      </c>
      <c r="DT14">
        <f>Source!EM82</f>
        <v>0</v>
      </c>
      <c r="DU14" t="e">
        <f>Source!EK82+Source!EL82</f>
        <v>#REF!</v>
      </c>
      <c r="DW14">
        <f>Source!ES82</f>
        <v>0</v>
      </c>
      <c r="DX14">
        <f>Source!ET82</f>
        <v>0</v>
      </c>
      <c r="DY14">
        <f>Source!EU82</f>
        <v>0</v>
      </c>
      <c r="DZ14">
        <f>Source!EV82</f>
        <v>0</v>
      </c>
      <c r="ET14" t="e">
        <f>Source!DM82</f>
        <v>#REF!</v>
      </c>
      <c r="EU14">
        <f>Source!DN82</f>
        <v>2.3105000000000007</v>
      </c>
      <c r="EV14" t="e">
        <f>SUM('2.Лок.смета.и.Акт'!GH21:'2.Лок.смета.и.Акт'!#REF!)</f>
        <v>#REF!</v>
      </c>
      <c r="EW14" t="e">
        <f>SUM('2.Лок.смета.и.Акт'!GI21:'2.Лок.смета.и.Акт'!#REF!)</f>
        <v>#REF!</v>
      </c>
      <c r="EX14" t="e">
        <f>SUM('2.Лок.смета.и.Акт'!GJ21:'2.Лок.смета.и.Акт'!#REF!)</f>
        <v>#REF!</v>
      </c>
      <c r="EY14" t="e">
        <f>SUM('2.Лок.смета.и.Акт'!GK21:'2.Лок.смета.и.Акт'!#REF!)</f>
        <v>#REF!</v>
      </c>
      <c r="EZ14" t="e">
        <f>SUM('2.Лок.смета.и.Акт'!GL21:'2.Лок.смета.и.Акт'!#REF!)</f>
        <v>#REF!</v>
      </c>
      <c r="FA14" t="e">
        <f>SUM('2.Лок.смета.и.Акт'!GM21:'2.Лок.смета.и.Акт'!#REF!)</f>
        <v>#REF!</v>
      </c>
      <c r="FB14" t="e">
        <f>SUM('2.Лок.смета.и.Акт'!GN21:'2.Лок.смета.и.Акт'!#REF!)</f>
        <v>#REF!</v>
      </c>
      <c r="FC14" t="e">
        <f>SUM('2.Лок.смета.и.Акт'!GO21:'2.Лок.смета.и.Акт'!#REF!)</f>
        <v>#REF!</v>
      </c>
      <c r="FD14" t="e">
        <f>SUM('2.Лок.смета.и.Акт'!GP21:'2.Лок.смета.и.Акт'!#REF!)</f>
        <v>#REF!</v>
      </c>
      <c r="FE14" t="e">
        <f>SUM('2.Лок.смета.и.Акт'!GQ21:'2.Лок.смета.и.Акт'!#REF!)</f>
        <v>#REF!</v>
      </c>
      <c r="FF14" t="e">
        <f>SUM('2.Лок.смета.и.Акт'!GR21:'2.Лок.смета.и.Акт'!#REF!)</f>
        <v>#REF!</v>
      </c>
      <c r="FG14" t="e">
        <f>SUM('2.Лок.смета.и.Акт'!GS21:'2.Лок.смета.и.Акт'!#REF!)</f>
        <v>#REF!</v>
      </c>
      <c r="FH14" t="e">
        <f>SUM('2.Лок.смета.и.Акт'!GT21:'2.Лок.смета.и.Акт'!#REF!)</f>
        <v>#REF!</v>
      </c>
      <c r="FI14" t="e">
        <f>SUM('2.Лок.смета.и.Акт'!GU21:'2.Лок.смета.и.Акт'!#REF!)</f>
        <v>#REF!</v>
      </c>
      <c r="FJ14" t="e">
        <f>SUM('2.Лок.смета.и.Акт'!GV21:'2.Лок.смета.и.Акт'!#REF!)</f>
        <v>#REF!</v>
      </c>
      <c r="FK14" t="e">
        <f>SUM('2.Лок.смета.и.Акт'!GW21:'2.Лок.смета.и.Акт'!#REF!)</f>
        <v>#REF!</v>
      </c>
      <c r="FL14" t="e">
        <f>SUM('2.Лок.смета.и.Акт'!GX21:'2.Лок.смета.и.Акт'!#REF!)</f>
        <v>#REF!</v>
      </c>
      <c r="FM14" t="e">
        <f>SUM('2.Лок.смета.и.Акт'!GY21:'2.Лок.смета.и.Акт'!#REF!)</f>
        <v>#REF!</v>
      </c>
      <c r="FN14" t="e">
        <f>SUM('2.Лок.смета.и.Акт'!GZ21:'2.Лок.смета.и.Акт'!#REF!)</f>
        <v>#REF!</v>
      </c>
      <c r="FO14" t="e">
        <f>SUM('2.Лок.смета.и.Акт'!HA21:'2.Лок.смета.и.Акт'!#REF!)</f>
        <v>#REF!</v>
      </c>
      <c r="FP14" t="e">
        <f>SUM('2.Лок.смета.и.Акт'!HB21:'2.Лок.смета.и.Акт'!#REF!)</f>
        <v>#REF!</v>
      </c>
      <c r="FQ14" t="e">
        <f>SUM('2.Лок.смета.и.Акт'!HC21:'2.Лок.смета.и.Акт'!#REF!)</f>
        <v>#REF!</v>
      </c>
      <c r="FR14" t="e">
        <f>SUM('2.Лок.смета.и.Акт'!GZ21:'2.Лок.смета.и.Акт'!#REF!)+SUM('2.Лок.смета.и.Акт'!HA21:'2.Лок.смета.и.Акт'!#REF!)</f>
        <v>#REF!</v>
      </c>
      <c r="FS14" t="e">
        <f>SUM('2.Лок.смета.и.Акт'!HE21:'2.Лок.смета.и.Акт'!#REF!)</f>
        <v>#REF!</v>
      </c>
      <c r="FT14" t="e">
        <f>SUM('2.Лок.смета.и.Акт'!HF21:'2.Лок.смета.и.Акт'!#REF!)</f>
        <v>#REF!</v>
      </c>
      <c r="FU14" t="e">
        <f>SUM('2.Лок.смета.и.Акт'!HG21:'2.Лок.смета.и.Акт'!#REF!)</f>
        <v>#REF!</v>
      </c>
      <c r="FV14" t="e">
        <f>SUM('2.Лок.смета.и.Акт'!HH21:'2.Лок.смета.и.Акт'!#REF!)</f>
        <v>#REF!</v>
      </c>
      <c r="FW14" t="e">
        <f>SUM('2.Лок.смета.и.Акт'!HI21:'2.Лок.смета.и.Акт'!#REF!)</f>
        <v>#REF!</v>
      </c>
      <c r="FX14" t="e">
        <f>SUMIF('2.Лок.смета.и.Акт'!CT21:'2.Лок.смета.и.Акт'!#REF!,1,'2.Лок.смета.и.Акт'!GI21:'2.Лок.смета.и.Акт'!#REF!)</f>
        <v>#REF!</v>
      </c>
      <c r="FY14" t="e">
        <f>SUMIF('2.Лок.смета.и.Акт'!CT21:'2.Лок.смета.и.Акт'!#REF!,2,'2.Лок.смета.и.Акт'!GI21:'2.Лок.смета.и.Акт'!#REF!)</f>
        <v>#REF!</v>
      </c>
      <c r="FZ14" t="e">
        <f>SUMIF('2.Лок.смета.и.Акт'!CT21:'2.Лок.смета.и.Акт'!#REF!,5,'2.Лок.смета.и.Акт'!GI21:'2.Лок.смета.и.Акт'!#REF!)</f>
        <v>#REF!</v>
      </c>
      <c r="GA14" t="e">
        <f>SUMIF('2.Лок.смета.и.Акт'!CT21:'2.Лок.смета.и.Акт'!#REF!,4,'2.Лок.смета.и.Акт'!GI21:'2.Лок.смета.и.Акт'!#REF!)</f>
        <v>#REF!</v>
      </c>
      <c r="GB14" t="e">
        <f>SUMIF('2.Лок.смета.и.Акт'!CT21:'2.Лок.смета.и.Акт'!#REF!,1,'2.Лок.смета.и.Акт'!GJ21:'2.Лок.смета.и.Акт'!#REF!)</f>
        <v>#REF!</v>
      </c>
      <c r="GC14" t="e">
        <f>SUMIF('2.Лок.смета.и.Акт'!CT21:'2.Лок.смета.и.Акт'!#REF!,2,'2.Лок.смета.и.Акт'!GJ21:'2.Лок.смета.и.Акт'!#REF!)</f>
        <v>#REF!</v>
      </c>
      <c r="GD14" t="e">
        <f>SUMIF('2.Лок.смета.и.Акт'!CT21:'2.Лок.смета.и.Акт'!#REF!,4,'2.Лок.смета.и.Акт'!GJ21:'2.Лок.смета.и.Акт'!#REF!)</f>
        <v>#REF!</v>
      </c>
      <c r="GE14" t="e">
        <f>SUMIF('2.Лок.смета.и.Акт'!CT21:'2.Лок.смета.и.Акт'!#REF!,1,'2.Лок.смета.и.Акт'!GO21:'2.Лок.смета.и.Акт'!#REF!)</f>
        <v>#REF!</v>
      </c>
      <c r="GF14" t="e">
        <f>SUMIF('2.Лок.смета.и.Акт'!CT21:'2.Лок.смета.и.Акт'!#REF!,2,'2.Лок.смета.и.Акт'!GO21:'2.Лок.смета.и.Акт'!#REF!)</f>
        <v>#REF!</v>
      </c>
      <c r="GG14" t="e">
        <f>SUMIF('2.Лок.смета.и.Акт'!CT21:'2.Лок.смета.и.Акт'!#REF!,4,'2.Лок.смета.и.Акт'!GO21:'2.Лок.смета.и.Акт'!#REF!)</f>
        <v>#REF!</v>
      </c>
      <c r="IB14" t="e">
        <f>SUM('2.Лок.смета.и.Акт'!HM21:'2.Лок.смета.и.Акт'!#REF!)</f>
        <v>#REF!</v>
      </c>
      <c r="IC14" t="e">
        <f>SUM('2.Лок.смета.и.Акт'!HO21:'2.Лок.смета.и.Акт'!#REF!)</f>
        <v>#REF!</v>
      </c>
      <c r="ID14" t="e">
        <f>SUM('2.Лок.смета.и.Акт'!HQ21:'2.Лок.смета.и.Акт'!#REF!)</f>
        <v>#REF!</v>
      </c>
      <c r="IE14" t="e">
        <f>SUM('2.Лок.смета.и.Акт'!HS21:'2.Лок.смета.и.Акт'!#REF!)</f>
        <v>#REF!</v>
      </c>
      <c r="IF14" t="e">
        <f>SUM('2.Лок.смета.и.Акт'!HW21:'2.Лок.смета.и.Акт'!#REF!)</f>
        <v>#REF!</v>
      </c>
      <c r="IG14" t="e">
        <f>SUM('2.Лок.смета.и.Акт'!HX21:'2.Лок.смета.и.Акт'!#REF!)</f>
        <v>#REF!</v>
      </c>
      <c r="IH14" t="e">
        <f>SUM('2.Лок.смета.и.Акт'!HJ21:'2.Лок.смета.и.Акт'!#REF!)</f>
        <v>#REF!</v>
      </c>
      <c r="II14" t="e">
        <f>SUM('2.Лок.смета.и.Акт'!HL21:'2.Лок.смета.и.Акт'!#REF!)</f>
        <v>#REF!</v>
      </c>
      <c r="IJ14" t="e">
        <f>SUM('2.Лок.смета.и.Акт'!HN21:'2.Лок.смета.и.Акт'!#REF!)</f>
        <v>#REF!</v>
      </c>
      <c r="IK14" t="e">
        <f>SUM('2.Лок.смета.и.Акт'!HP21:'2.Лок.смета.и.Акт'!#REF!)</f>
        <v>#REF!</v>
      </c>
      <c r="IL14" t="e">
        <f>SUM('2.Лок.смета.и.Акт'!HR21:'2.Лок.смета.и.Акт'!#REF!)</f>
        <v>#REF!</v>
      </c>
      <c r="IM14" t="e">
        <f>SUM('2.Лок.смета.и.Акт'!HU21:'2.Лок.смета.и.Акт'!#REF!)</f>
        <v>#REF!</v>
      </c>
      <c r="IN14" t="e">
        <f>SUMIF('2.Лок.смета.и.Акт'!CT21:'2.Лок.смета.и.Акт'!#REF!,1,'2.Лок.смета.и.Акт'!GW21:'2.Лок.смета.и.Акт'!#REF!)</f>
        <v>#REF!</v>
      </c>
      <c r="IO14" t="e">
        <f>SUMIF('2.Лок.смета.и.Акт'!CT21:'2.Лок.смета.и.Акт'!#REF!,2,'2.Лок.смета.и.Акт'!GW21:'2.Лок.смета.и.Акт'!#REF!)</f>
        <v>#REF!</v>
      </c>
      <c r="IP14" t="e">
        <f>SUMIF('2.Лок.смета.и.Акт'!CT21:'2.Лок.смета.и.Акт'!#REF!,5,'2.Лок.смета.и.Акт'!GW21:'2.Лок.смета.и.Акт'!#REF!)</f>
        <v>#REF!</v>
      </c>
      <c r="IQ14" t="e">
        <f>SUMIF('2.Лок.смета.и.Акт'!CT21:'2.Лок.смета.и.Акт'!#REF!,4,'2.Лок.смета.и.Акт'!GW21:'2.Лок.смета.и.Акт'!#REF!)</f>
        <v>#REF!</v>
      </c>
      <c r="IR14" t="e">
        <f>SUMIF('2.Лок.смета.и.Акт'!CT21:'2.Лок.смета.и.Акт'!#REF!,1,'2.Лок.смета.и.Акт'!GX21:'2.Лок.смета.и.Акт'!#REF!)</f>
        <v>#REF!</v>
      </c>
      <c r="IS14" t="e">
        <f>SUMIF('2.Лок.смета.и.Акт'!CT21:'2.Лок.смета.и.Акт'!#REF!,2,'2.Лок.смета.и.Акт'!GX21:'2.Лок.смета.и.Акт'!#REF!)</f>
        <v>#REF!</v>
      </c>
      <c r="IT14" t="e">
        <f>SUMIF('2.Лок.смета.и.Акт'!CT21:'2.Лок.смета.и.Акт'!#REF!,5,'2.Лок.смета.и.Акт'!GX21:'2.Лок.смета.и.Акт'!#REF!)</f>
        <v>#REF!</v>
      </c>
      <c r="IU14" t="e">
        <f>SUMIF('2.Лок.смета.и.Акт'!CT21:'2.Лок.смета.и.Акт'!#REF!,4,'2.Лок.смета.и.Акт'!GX21:'2.Лок.смета.и.Акт'!#REF!)</f>
        <v>#REF!</v>
      </c>
    </row>
    <row r="15" spans="1:255" x14ac:dyDescent="0.2">
      <c r="A15">
        <v>999</v>
      </c>
      <c r="B15" t="s">
        <v>432</v>
      </c>
    </row>
    <row r="165" spans="57:68" x14ac:dyDescent="0.2">
      <c r="BE165" t="e">
        <f>SUMIF('2.Лок.смета.и.Акт'!CT21:'2.Лок.смета.и.Акт'!#REF!,1,'2.Лок.смета.и.Акт'!AT21:'2.Лок.смета.и.Акт'!#REF!)</f>
        <v>#REF!</v>
      </c>
      <c r="BF165" t="e">
        <f>SUMIF('2.Лок.смета.и.Акт'!CT21:'2.Лок.смета.и.Акт'!#REF!,2,'2.Лок.смета.и.Акт'!AT21:'2.Лок.смета.и.Акт'!#REF!)</f>
        <v>#REF!</v>
      </c>
      <c r="BG165" t="e">
        <f>SUMIF('2.Лок.смета.и.Акт'!CT21:'2.Лок.смета.и.Акт'!#REF!,5,'2.Лок.смета.и.Акт'!AT21:'2.Лок.смета.и.Акт'!#REF!)</f>
        <v>#REF!</v>
      </c>
      <c r="BH165" t="e">
        <f>SUMIF('2.Лок.смета.и.Акт'!CT21:'2.Лок.смета.и.Акт'!#REF!,4,'2.Лок.смета.и.Акт'!AT21:'2.Лок.смета.и.Акт'!#REF!)</f>
        <v>#REF!</v>
      </c>
      <c r="BI165" t="e">
        <f>SUMIF('2.Лок.смета.и.Акт'!CT21:'2.Лок.смета.и.Акт'!#REF!,1,'2.Лок.смета.и.Акт'!AU21:'2.Лок.смета.и.Акт'!#REF!)</f>
        <v>#REF!</v>
      </c>
      <c r="BJ165" t="e">
        <f>SUMIF('2.Лок.смета.и.Акт'!CT21:'2.Лок.смета.и.Акт'!#REF!,2,'2.Лок.смета.и.Акт'!AU21:'2.Лок.смета.и.Акт'!#REF!)</f>
        <v>#REF!</v>
      </c>
      <c r="BK165" t="e">
        <f>SUMIF('2.Лок.смета.и.Акт'!CT21:'2.Лок.смета.и.Акт'!#REF!,5,'2.Лок.смета.и.Акт'!AU21:'2.Лок.смета.и.Акт'!#REF!)</f>
        <v>#REF!</v>
      </c>
      <c r="BL165" t="e">
        <f>SUMIF('2.Лок.смета.и.Акт'!CT21:'2.Лок.смета.и.Акт'!#REF!,4,'2.Лок.смета.и.Акт'!AU21:'2.Лок.смета.и.Акт'!#REF!)</f>
        <v>#REF!</v>
      </c>
      <c r="BM165" t="e">
        <f>SUMIF('2.Лок.смета.и.Акт'!CT21:'2.Лок.смета.и.Акт'!#REF!,1,'2.Лок.смета.и.Акт'!AV21:'2.Лок.смета.и.Акт'!#REF!)</f>
        <v>#REF!</v>
      </c>
      <c r="BN165" t="e">
        <f>SUMIF('2.Лок.смета.и.Акт'!CT21:'2.Лок.смета.и.Акт'!#REF!,2,'2.Лок.смета.и.Акт'!AV21:'2.Лок.смета.и.Акт'!#REF!)</f>
        <v>#REF!</v>
      </c>
      <c r="BO165" t="e">
        <f>SUMIF('2.Лок.смета.и.Акт'!CT21:'2.Лок.смета.и.Акт'!#REF!,5,'2.Лок.смета.и.Акт'!AV21:'2.Лок.смета.и.Акт'!#REF!)</f>
        <v>#REF!</v>
      </c>
      <c r="BP165" t="e">
        <f>SUMIF('2.Лок.смета.и.Акт'!CT21:'2.Лок.смета.и.Акт'!#REF!,4,'2.Лок.смета.и.Акт'!AV21:'2.Лок.смета.и.Акт'!#REF!)</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255"/>
  <sheetViews>
    <sheetView topLeftCell="A138"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290</v>
      </c>
    </row>
    <row r="2" spans="1:255" hidden="1" outlineLevel="1" x14ac:dyDescent="0.2">
      <c r="H2" s="304" t="s">
        <v>291</v>
      </c>
      <c r="I2" s="304"/>
      <c r="J2" s="304"/>
      <c r="K2" s="304"/>
    </row>
    <row r="3" spans="1:255" hidden="1" outlineLevel="1" x14ac:dyDescent="0.2">
      <c r="H3" s="304" t="s">
        <v>292</v>
      </c>
      <c r="I3" s="304"/>
      <c r="J3" s="304"/>
      <c r="K3" s="304"/>
    </row>
    <row r="4" spans="1:255" hidden="1" outlineLevel="1" x14ac:dyDescent="0.2">
      <c r="H4" s="304" t="s">
        <v>293</v>
      </c>
      <c r="I4" s="304"/>
      <c r="J4" s="304"/>
      <c r="K4" s="304"/>
    </row>
    <row r="5" spans="1:255" s="14" customFormat="1" ht="11.25" hidden="1" outlineLevel="1" x14ac:dyDescent="0.2">
      <c r="J5" s="333" t="s">
        <v>294</v>
      </c>
      <c r="K5" s="334"/>
    </row>
    <row r="6" spans="1:255" s="16" customFormat="1" ht="9.75" hidden="1" outlineLevel="1" x14ac:dyDescent="0.2">
      <c r="I6" s="17" t="s">
        <v>295</v>
      </c>
      <c r="J6" s="335" t="s">
        <v>296</v>
      </c>
      <c r="K6" s="336"/>
    </row>
    <row r="7" spans="1:255" hidden="1" outlineLevel="1" x14ac:dyDescent="0.2">
      <c r="A7" s="21" t="s">
        <v>297</v>
      </c>
      <c r="B7" s="19"/>
      <c r="C7" s="269"/>
      <c r="D7" s="270"/>
      <c r="E7" s="270"/>
      <c r="F7" s="270"/>
      <c r="G7" s="270"/>
      <c r="I7" s="17" t="s">
        <v>298</v>
      </c>
      <c r="J7" s="328"/>
      <c r="K7" s="332"/>
      <c r="BR7" s="22">
        <f>C7</f>
        <v>0</v>
      </c>
      <c r="IU7" s="23"/>
    </row>
    <row r="8" spans="1:255" hidden="1" outlineLevel="1" x14ac:dyDescent="0.2">
      <c r="A8" s="21" t="s">
        <v>299</v>
      </c>
      <c r="B8" s="19"/>
      <c r="C8" s="271"/>
      <c r="D8" s="272"/>
      <c r="E8" s="272"/>
      <c r="F8" s="272"/>
      <c r="G8" s="272"/>
      <c r="I8" s="17" t="s">
        <v>298</v>
      </c>
      <c r="J8" s="328"/>
      <c r="K8" s="332"/>
      <c r="BR8" s="22">
        <f>C8</f>
        <v>0</v>
      </c>
      <c r="IU8" s="23"/>
    </row>
    <row r="9" spans="1:255" hidden="1" outlineLevel="1" x14ac:dyDescent="0.2">
      <c r="A9" s="21" t="s">
        <v>300</v>
      </c>
      <c r="B9" s="19"/>
      <c r="C9" s="271"/>
      <c r="D9" s="272"/>
      <c r="E9" s="272"/>
      <c r="F9" s="272"/>
      <c r="G9" s="272"/>
      <c r="I9" s="17" t="s">
        <v>298</v>
      </c>
      <c r="J9" s="328"/>
      <c r="K9" s="332"/>
      <c r="BR9" s="22">
        <f>C9</f>
        <v>0</v>
      </c>
      <c r="IU9" s="23"/>
    </row>
    <row r="10" spans="1:255" hidden="1" outlineLevel="1" x14ac:dyDescent="0.2">
      <c r="A10" s="21" t="s">
        <v>301</v>
      </c>
      <c r="B10" s="19"/>
      <c r="C10" s="271"/>
      <c r="D10" s="272"/>
      <c r="E10" s="272"/>
      <c r="F10" s="272"/>
      <c r="G10" s="272"/>
      <c r="I10" s="17" t="s">
        <v>298</v>
      </c>
      <c r="J10" s="328"/>
      <c r="K10" s="332"/>
      <c r="BR10" s="22">
        <f>C10</f>
        <v>0</v>
      </c>
      <c r="IU10" s="23"/>
    </row>
    <row r="11" spans="1:255" ht="38.25" hidden="1" outlineLevel="1" x14ac:dyDescent="0.2">
      <c r="A11" s="21" t="s">
        <v>302</v>
      </c>
      <c r="C11" s="327" t="s">
        <v>5</v>
      </c>
      <c r="D11" s="327"/>
      <c r="E11" s="327"/>
      <c r="F11" s="327"/>
      <c r="G11" s="327"/>
      <c r="J11" s="328"/>
      <c r="K11" s="329"/>
      <c r="BS11" s="26" t="str">
        <f>C11</f>
        <v>Комплекс из 2-х многоквартирных домов, расположенных по адресу г.Орел, б-р Молодежи, участок 2а. 1-й этап строительства - многоквартирный дом корпус 2 (поз.1)</v>
      </c>
      <c r="IU11" s="23"/>
    </row>
    <row r="12" spans="1:255" ht="38.25" hidden="1" outlineLevel="1" x14ac:dyDescent="0.2">
      <c r="A12" s="21" t="s">
        <v>303</v>
      </c>
      <c r="C12" s="327" t="s">
        <v>5</v>
      </c>
      <c r="D12" s="327"/>
      <c r="E12" s="327"/>
      <c r="F12" s="327"/>
      <c r="G12" s="327"/>
      <c r="J12" s="328"/>
      <c r="K12" s="329"/>
      <c r="BS12" s="26" t="str">
        <f>C12</f>
        <v>Комплекс из 2-х многоквартирных домов, расположенных по адресу г.Орел, б-р Молодежи, участок 2а. 1-й этап строительства - многоквартирный дом корпус 2 (поз.1)</v>
      </c>
      <c r="IU12" s="23"/>
    </row>
    <row r="13" spans="1:255" hidden="1" outlineLevel="1" x14ac:dyDescent="0.2">
      <c r="A13" s="21" t="s">
        <v>304</v>
      </c>
      <c r="C13" s="330" t="s">
        <v>305</v>
      </c>
      <c r="D13" s="331"/>
      <c r="E13" s="331"/>
      <c r="F13" s="331"/>
      <c r="G13" s="331"/>
      <c r="I13" s="17" t="s">
        <v>306</v>
      </c>
      <c r="J13" s="328"/>
      <c r="K13" s="329"/>
      <c r="BS13" s="27" t="str">
        <f>C13</f>
        <v xml:space="preserve"> 5.9.3.4 Отделка квартир типа "Теплый White Box" Д1</v>
      </c>
      <c r="IU13" s="23"/>
    </row>
    <row r="14" spans="1:255" hidden="1" outlineLevel="1" x14ac:dyDescent="0.2">
      <c r="G14" s="301" t="s">
        <v>307</v>
      </c>
      <c r="H14" s="301"/>
      <c r="I14" s="28" t="s">
        <v>308</v>
      </c>
      <c r="J14" s="319"/>
      <c r="K14" s="320"/>
      <c r="BW14" s="30">
        <f>J14</f>
        <v>0</v>
      </c>
      <c r="IU14" s="23"/>
    </row>
    <row r="15" spans="1:255" hidden="1" outlineLevel="1" x14ac:dyDescent="0.2">
      <c r="I15" s="29" t="s">
        <v>309</v>
      </c>
      <c r="J15" s="321"/>
      <c r="K15" s="322"/>
    </row>
    <row r="16" spans="1:255" s="16" customFormat="1" ht="11.25" hidden="1" outlineLevel="1" x14ac:dyDescent="0.2">
      <c r="I16" s="17" t="s">
        <v>310</v>
      </c>
      <c r="J16" s="323"/>
      <c r="K16" s="324"/>
    </row>
    <row r="17" spans="1:255" hidden="1" outlineLevel="1" x14ac:dyDescent="0.2"/>
    <row r="18" spans="1:255" hidden="1" outlineLevel="1" x14ac:dyDescent="0.2">
      <c r="G18" s="302" t="s">
        <v>311</v>
      </c>
      <c r="H18" s="302" t="s">
        <v>312</v>
      </c>
      <c r="I18" s="325" t="s">
        <v>313</v>
      </c>
      <c r="J18" s="326"/>
    </row>
    <row r="19" spans="1:255" ht="13.5" hidden="1" outlineLevel="1" thickBot="1" x14ac:dyDescent="0.25">
      <c r="G19" s="303"/>
      <c r="H19" s="303"/>
      <c r="I19" s="34" t="s">
        <v>314</v>
      </c>
      <c r="J19" s="35" t="s">
        <v>315</v>
      </c>
    </row>
    <row r="20" spans="1:255" ht="19.5" hidden="1" outlineLevel="1" thickBot="1" x14ac:dyDescent="0.35">
      <c r="C20" s="255" t="s">
        <v>316</v>
      </c>
      <c r="D20" s="255"/>
      <c r="E20" s="255"/>
      <c r="F20" s="255"/>
      <c r="G20" s="37"/>
      <c r="H20" s="38"/>
      <c r="I20" s="39"/>
      <c r="J20" s="40"/>
      <c r="K20" s="41"/>
    </row>
    <row r="21" spans="1:255" ht="15.75" hidden="1" outlineLevel="1" x14ac:dyDescent="0.25">
      <c r="C21" s="315" t="s">
        <v>317</v>
      </c>
      <c r="D21" s="315"/>
      <c r="E21" s="315"/>
      <c r="F21" s="315"/>
    </row>
    <row r="22" spans="1:255" hidden="1" outlineLevel="1" x14ac:dyDescent="0.2">
      <c r="C22" s="256"/>
      <c r="D22" s="254"/>
      <c r="E22" s="254"/>
      <c r="F22" s="254"/>
    </row>
    <row r="23" spans="1:255" hidden="1" outlineLevel="1" x14ac:dyDescent="0.2">
      <c r="C23" s="316" t="s">
        <v>17</v>
      </c>
      <c r="D23" s="317"/>
      <c r="E23" s="317"/>
      <c r="F23" s="317"/>
      <c r="BU23" s="22">
        <f>A23</f>
        <v>0</v>
      </c>
      <c r="IU23" s="23"/>
    </row>
    <row r="24" spans="1:255" hidden="1" outlineLevel="1" x14ac:dyDescent="0.2">
      <c r="A24" s="16" t="s">
        <v>318</v>
      </c>
    </row>
    <row r="25" spans="1:255" hidden="1" outlineLevel="1" x14ac:dyDescent="0.2">
      <c r="A25" s="16" t="s">
        <v>319</v>
      </c>
    </row>
    <row r="26" spans="1:255" hidden="1" outlineLevel="1" x14ac:dyDescent="0.2">
      <c r="A26" s="16" t="s">
        <v>320</v>
      </c>
      <c r="B26" s="16"/>
      <c r="C26" s="16"/>
      <c r="D26" s="16"/>
      <c r="E26" s="318" t="e">
        <f>K223/1000</f>
        <v>#REF!</v>
      </c>
      <c r="F26" s="318"/>
      <c r="G26" s="16" t="s">
        <v>321</v>
      </c>
      <c r="H26" s="16"/>
      <c r="I26" s="16"/>
      <c r="J26" s="16"/>
      <c r="K26" s="16"/>
    </row>
    <row r="27" spans="1:255" collapsed="1" x14ac:dyDescent="0.2"/>
    <row r="28" spans="1:255" outlineLevel="1" x14ac:dyDescent="0.2">
      <c r="K28" s="42" t="s">
        <v>322</v>
      </c>
    </row>
    <row r="29" spans="1:255" ht="24" outlineLevel="1" x14ac:dyDescent="0.2">
      <c r="A29" s="21" t="s">
        <v>302</v>
      </c>
      <c r="C29" s="288" t="s">
        <v>5</v>
      </c>
      <c r="D29" s="288"/>
      <c r="E29" s="288"/>
      <c r="F29" s="288"/>
      <c r="G29" s="288"/>
      <c r="H29" s="288"/>
      <c r="I29" s="288"/>
      <c r="J29" s="288"/>
      <c r="K29" s="288"/>
      <c r="BT29" s="44" t="str">
        <f>C29</f>
        <v>Комплекс из 2-х многоквартирных домов, расположенных по адресу г.Орел, б-р Молодежи, участок 2а. 1-й этап строительства - многоквартирный дом корпус 2 (поз.1)</v>
      </c>
      <c r="IU29" s="23"/>
    </row>
    <row r="30" spans="1:255" ht="24" outlineLevel="1" x14ac:dyDescent="0.2">
      <c r="A30" s="21" t="s">
        <v>303</v>
      </c>
      <c r="C30" s="288" t="s">
        <v>5</v>
      </c>
      <c r="D30" s="288"/>
      <c r="E30" s="288"/>
      <c r="F30" s="288"/>
      <c r="G30" s="288"/>
      <c r="H30" s="288"/>
      <c r="I30" s="288"/>
      <c r="J30" s="288"/>
      <c r="K30" s="288"/>
      <c r="BT30" s="44" t="str">
        <f>C30</f>
        <v>Комплекс из 2-х многоквартирных домов, расположенных по адресу г.Орел, б-р Молодежи, участок 2а. 1-й этап строительства - многоквартирный дом корпус 2 (поз.1)</v>
      </c>
      <c r="IU30" s="23"/>
    </row>
    <row r="31" spans="1:255" outlineLevel="1" x14ac:dyDescent="0.2">
      <c r="A31" s="21" t="s">
        <v>304</v>
      </c>
      <c r="C31" s="280" t="s">
        <v>323</v>
      </c>
      <c r="D31" s="288"/>
      <c r="E31" s="288"/>
      <c r="F31" s="288"/>
      <c r="G31" s="288"/>
      <c r="H31" s="288"/>
      <c r="I31" s="288"/>
      <c r="J31" s="288"/>
      <c r="K31" s="288"/>
      <c r="BT31" s="45" t="str">
        <f>C31</f>
        <v xml:space="preserve"> 5.9.3.4 Отделка квартир типа "Теплый White Box" Д1 </v>
      </c>
      <c r="IU31" s="23"/>
    </row>
    <row r="32" spans="1:255" outlineLevel="1" x14ac:dyDescent="0.2"/>
    <row r="33" spans="1:255" ht="18.75" outlineLevel="1" x14ac:dyDescent="0.3">
      <c r="A33" s="255" t="s">
        <v>324</v>
      </c>
      <c r="B33" s="255"/>
      <c r="C33" s="255"/>
      <c r="D33" s="255"/>
      <c r="E33" s="255"/>
      <c r="F33" s="255"/>
      <c r="G33" s="255"/>
      <c r="H33" s="255"/>
      <c r="I33" s="255"/>
      <c r="J33" s="255"/>
      <c r="K33" s="255"/>
    </row>
    <row r="34" spans="1:255" outlineLevel="1" x14ac:dyDescent="0.2">
      <c r="A34" s="300" t="s">
        <v>17</v>
      </c>
      <c r="B34" s="300"/>
      <c r="C34" s="300"/>
      <c r="D34" s="300"/>
      <c r="E34" s="300"/>
      <c r="F34" s="300"/>
      <c r="G34" s="300"/>
      <c r="H34" s="300"/>
      <c r="I34" s="300"/>
      <c r="J34" s="300"/>
      <c r="K34" s="300"/>
      <c r="BV34" s="26" t="str">
        <f>A34</f>
        <v>Отделка помещений квартир типа "Теплый White Box"</v>
      </c>
      <c r="IU34" s="23"/>
    </row>
    <row r="35" spans="1:255" outlineLevel="1" x14ac:dyDescent="0.2">
      <c r="A35" s="21" t="s">
        <v>325</v>
      </c>
      <c r="C35" s="288" t="s">
        <v>8</v>
      </c>
      <c r="D35" s="288"/>
      <c r="E35" s="288"/>
      <c r="F35" s="288"/>
      <c r="G35" s="288"/>
      <c r="H35" s="288"/>
      <c r="I35" s="288"/>
      <c r="J35" s="288"/>
      <c r="K35" s="288"/>
      <c r="BT35" s="44" t="str">
        <f>C35</f>
        <v>Типовое решение интерьера "Теплый White Box"</v>
      </c>
      <c r="IU35" s="23"/>
    </row>
    <row r="36" spans="1:255" outlineLevel="1" x14ac:dyDescent="0.2">
      <c r="I36" s="46" t="s">
        <v>326</v>
      </c>
      <c r="J36" s="46" t="s">
        <v>327</v>
      </c>
    </row>
    <row r="37" spans="1:255" outlineLevel="1" x14ac:dyDescent="0.2">
      <c r="G37" s="36" t="s">
        <v>328</v>
      </c>
      <c r="H37" s="36"/>
      <c r="I37" s="47">
        <f>I223/1000</f>
        <v>69.248999999999995</v>
      </c>
      <c r="J37" s="47" t="e">
        <f>K223/1000</f>
        <v>#REF!</v>
      </c>
      <c r="K37" s="36" t="s">
        <v>329</v>
      </c>
    </row>
    <row r="38" spans="1:255" outlineLevel="1" x14ac:dyDescent="0.2">
      <c r="G38" s="16" t="s">
        <v>330</v>
      </c>
      <c r="H38" s="16"/>
      <c r="I38" s="48">
        <f>SUM(GK47:GK164)/1000</f>
        <v>13.638</v>
      </c>
      <c r="J38" s="48">
        <f>(Source!DK82)/1000</f>
        <v>473.68599999999998</v>
      </c>
      <c r="K38" s="16" t="s">
        <v>329</v>
      </c>
    </row>
    <row r="39" spans="1:255" outlineLevel="1" x14ac:dyDescent="0.2">
      <c r="G39" s="16" t="s">
        <v>331</v>
      </c>
      <c r="H39" s="16"/>
      <c r="I39" s="48" t="e">
        <f>Source!DM82</f>
        <v>#REF!</v>
      </c>
      <c r="J39" s="48" t="e">
        <f>Source!DM82</f>
        <v>#REF!</v>
      </c>
      <c r="K39" s="16" t="s">
        <v>332</v>
      </c>
    </row>
    <row r="40" spans="1:255" outlineLevel="1" x14ac:dyDescent="0.2">
      <c r="A40" s="16" t="s">
        <v>333</v>
      </c>
    </row>
    <row r="41" spans="1:255" ht="13.5" outlineLevel="1" thickBot="1" x14ac:dyDescent="0.25">
      <c r="A41" s="16" t="s">
        <v>319</v>
      </c>
    </row>
    <row r="42" spans="1:255" x14ac:dyDescent="0.2">
      <c r="A42" s="291" t="s">
        <v>334</v>
      </c>
      <c r="B42" s="293" t="s">
        <v>335</v>
      </c>
      <c r="C42" s="293" t="s">
        <v>336</v>
      </c>
      <c r="D42" s="293" t="s">
        <v>337</v>
      </c>
      <c r="E42" s="293" t="s">
        <v>338</v>
      </c>
      <c r="F42" s="293" t="s">
        <v>339</v>
      </c>
      <c r="G42" s="293" t="s">
        <v>340</v>
      </c>
      <c r="H42" s="293" t="s">
        <v>341</v>
      </c>
      <c r="I42" s="293" t="s">
        <v>342</v>
      </c>
      <c r="J42" s="293" t="s">
        <v>343</v>
      </c>
      <c r="K42" s="297" t="s">
        <v>344</v>
      </c>
    </row>
    <row r="43" spans="1:255" x14ac:dyDescent="0.2">
      <c r="A43" s="292"/>
      <c r="B43" s="294"/>
      <c r="C43" s="294"/>
      <c r="D43" s="294"/>
      <c r="E43" s="294"/>
      <c r="F43" s="294"/>
      <c r="G43" s="294"/>
      <c r="H43" s="294"/>
      <c r="I43" s="294"/>
      <c r="J43" s="294"/>
      <c r="K43" s="298"/>
    </row>
    <row r="44" spans="1:255" x14ac:dyDescent="0.2">
      <c r="A44" s="292"/>
      <c r="B44" s="294"/>
      <c r="C44" s="294"/>
      <c r="D44" s="294"/>
      <c r="E44" s="294"/>
      <c r="F44" s="294"/>
      <c r="G44" s="294"/>
      <c r="H44" s="294"/>
      <c r="I44" s="294"/>
      <c r="J44" s="294"/>
      <c r="K44" s="298"/>
    </row>
    <row r="45" spans="1:255" ht="13.5" thickBot="1" x14ac:dyDescent="0.25">
      <c r="A45" s="292"/>
      <c r="B45" s="294"/>
      <c r="C45" s="294"/>
      <c r="D45" s="294"/>
      <c r="E45" s="294"/>
      <c r="F45" s="294"/>
      <c r="G45" s="294"/>
      <c r="H45" s="294"/>
      <c r="I45" s="294"/>
      <c r="J45" s="294"/>
      <c r="K45" s="298"/>
    </row>
    <row r="46" spans="1:255" ht="13.5" thickBot="1" x14ac:dyDescent="0.25">
      <c r="A46" s="49">
        <v>1</v>
      </c>
      <c r="B46" s="49">
        <v>2</v>
      </c>
      <c r="C46" s="49">
        <v>3</v>
      </c>
      <c r="D46" s="49">
        <v>4</v>
      </c>
      <c r="E46" s="49">
        <v>5</v>
      </c>
      <c r="F46" s="49">
        <v>6</v>
      </c>
      <c r="G46" s="49">
        <v>7</v>
      </c>
      <c r="H46" s="49">
        <v>8</v>
      </c>
      <c r="I46" s="49">
        <v>9</v>
      </c>
      <c r="J46" s="49">
        <v>10</v>
      </c>
      <c r="K46" s="49">
        <v>11</v>
      </c>
    </row>
    <row r="47" spans="1:255" x14ac:dyDescent="0.2">
      <c r="A47" s="50"/>
      <c r="B47" s="50"/>
      <c r="C47" s="50"/>
      <c r="D47" s="50"/>
      <c r="E47" s="50"/>
      <c r="F47" s="50"/>
      <c r="G47" s="50"/>
      <c r="H47" s="50"/>
      <c r="I47" s="50"/>
      <c r="J47" s="50"/>
      <c r="K47" s="50"/>
    </row>
    <row r="48" spans="1:255" ht="24" x14ac:dyDescent="0.2">
      <c r="A48" s="51"/>
      <c r="B48" s="51"/>
      <c r="C48" s="290" t="s">
        <v>18</v>
      </c>
      <c r="D48" s="290"/>
      <c r="E48" s="290"/>
      <c r="F48" s="290"/>
      <c r="G48" s="290"/>
      <c r="H48" s="290"/>
      <c r="I48" s="290"/>
      <c r="J48" s="290"/>
      <c r="K48" s="290"/>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2" t="str">
        <f>C48</f>
        <v>Квартиры типа "White Box" №№ 83, 8, 37, 65, 190, 177, 152, 91, 70, 124, 56, 156, 99, 136, 131, 174, 164, 68, 161, 80, 105, 73, 178, 141, 23, 50, 115, 187, 193, 67, 199, 53, 184, 179, 78, 2(ШОУРУМ).</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50" spans="1:255" x14ac:dyDescent="0.2">
      <c r="A50" s="51"/>
      <c r="B50" s="51"/>
      <c r="C50" s="290" t="s">
        <v>19</v>
      </c>
      <c r="D50" s="290"/>
      <c r="E50" s="290"/>
      <c r="F50" s="290"/>
      <c r="G50" s="290"/>
      <c r="H50" s="290"/>
      <c r="I50" s="290"/>
      <c r="J50" s="290"/>
      <c r="K50" s="290"/>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52" t="str">
        <f>C50</f>
        <v>Потолок</v>
      </c>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ht="13.5" thickBot="1" x14ac:dyDescent="0.25"/>
    <row r="52" spans="1:255" ht="24" x14ac:dyDescent="0.2">
      <c r="A52" s="54">
        <v>1</v>
      </c>
      <c r="B52" s="62" t="s">
        <v>21</v>
      </c>
      <c r="C52" s="55" t="s">
        <v>22</v>
      </c>
      <c r="D52" s="56" t="s">
        <v>23</v>
      </c>
      <c r="E52" s="57">
        <v>19.164000000000001</v>
      </c>
      <c r="F52" s="58">
        <f>Source!AK27</f>
        <v>80</v>
      </c>
      <c r="G52" s="63" t="s">
        <v>6</v>
      </c>
      <c r="H52" s="58"/>
      <c r="I52" s="59">
        <f>SUM(DQ52:DQ63)</f>
        <v>3944</v>
      </c>
      <c r="J52" s="60" t="s">
        <v>21</v>
      </c>
      <c r="K52" s="61" t="e">
        <f>SUM(DS52:DS63)</f>
        <v>#REF!</v>
      </c>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7"/>
      <c r="B53" s="68"/>
      <c r="C53" s="68" t="s">
        <v>348</v>
      </c>
      <c r="D53" s="69"/>
      <c r="E53" s="70"/>
      <c r="F53" s="71">
        <v>78.569999999999993</v>
      </c>
      <c r="G53" s="72"/>
      <c r="H53" s="71">
        <f>Source!AF27</f>
        <v>78.569999999999993</v>
      </c>
      <c r="I53" s="73">
        <f>T53</f>
        <v>1506</v>
      </c>
      <c r="J53" s="74">
        <v>34.6</v>
      </c>
      <c r="K53" s="75">
        <f>U53</f>
        <v>52098</v>
      </c>
      <c r="O53" s="23"/>
      <c r="P53" s="23"/>
      <c r="Q53" s="23"/>
      <c r="R53" s="23"/>
      <c r="S53" s="23"/>
      <c r="T53" s="23">
        <f>ROUND(Source!AF27*Source!AV27*Source!I27,0)</f>
        <v>1506</v>
      </c>
      <c r="U53" s="23">
        <f>Source!S27</f>
        <v>52098</v>
      </c>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v>1</v>
      </c>
      <c r="CW53" s="23"/>
      <c r="CX53" s="23"/>
      <c r="CY53" s="23"/>
      <c r="CZ53" s="23"/>
      <c r="DA53" s="23"/>
      <c r="DB53" s="23"/>
      <c r="DC53" s="23"/>
      <c r="DD53" s="23"/>
      <c r="DE53" s="23"/>
      <c r="DF53" s="23"/>
      <c r="DG53" s="23">
        <f>Source!S27</f>
        <v>52098</v>
      </c>
      <c r="DH53" s="23">
        <v>1009</v>
      </c>
      <c r="DI53" s="23"/>
      <c r="DJ53" s="23"/>
      <c r="DK53" s="23"/>
      <c r="DL53" s="23"/>
      <c r="DM53" s="23"/>
      <c r="DN53" s="23"/>
      <c r="DO53" s="23"/>
      <c r="DP53" s="23"/>
      <c r="DQ53" s="23">
        <f>T53</f>
        <v>1506</v>
      </c>
      <c r="DR53" s="23"/>
      <c r="DS53" s="23">
        <f>U53</f>
        <v>52098</v>
      </c>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f>T53</f>
        <v>1506</v>
      </c>
      <c r="GK53" s="23">
        <f>T53</f>
        <v>1506</v>
      </c>
      <c r="GL53" s="23"/>
      <c r="GM53" s="23"/>
      <c r="GN53" s="23"/>
      <c r="GO53" s="23"/>
      <c r="GP53" s="23"/>
      <c r="GQ53" s="23"/>
      <c r="GR53" s="23"/>
      <c r="GS53" s="23"/>
      <c r="GT53" s="23"/>
      <c r="GU53" s="23"/>
      <c r="GV53" s="23"/>
      <c r="GW53" s="23"/>
      <c r="GX53" s="23"/>
      <c r="GY53" s="23"/>
      <c r="GZ53" s="23"/>
      <c r="HA53" s="23"/>
      <c r="HB53" s="23">
        <f>T53</f>
        <v>1506</v>
      </c>
      <c r="HC53" s="23"/>
      <c r="HD53" s="23"/>
      <c r="HE53" s="23"/>
      <c r="HF53" s="23">
        <f>T53</f>
        <v>1506</v>
      </c>
      <c r="HG53" s="23"/>
      <c r="HH53" s="23"/>
      <c r="HI53" s="23"/>
      <c r="HJ53" s="23"/>
      <c r="HK53" s="23"/>
      <c r="HL53" s="23">
        <f>T53</f>
        <v>1506</v>
      </c>
      <c r="HM53" s="23"/>
      <c r="HN53" s="23">
        <f>T53</f>
        <v>1506</v>
      </c>
      <c r="HO53" s="23"/>
      <c r="HP53" s="23"/>
      <c r="HQ53" s="23"/>
      <c r="HR53" s="23"/>
      <c r="HS53" s="23"/>
      <c r="HT53" s="23"/>
      <c r="HU53" s="23"/>
      <c r="HV53" s="23"/>
      <c r="HW53" s="23"/>
      <c r="HX53" s="23">
        <f>T53</f>
        <v>1506</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9"/>
      <c r="B54" s="80"/>
      <c r="C54" s="80" t="s">
        <v>349</v>
      </c>
      <c r="D54" s="81"/>
      <c r="E54" s="82"/>
      <c r="F54" s="83">
        <v>1.25</v>
      </c>
      <c r="G54" s="84"/>
      <c r="H54" s="83">
        <f>Source!AD27</f>
        <v>1.25</v>
      </c>
      <c r="I54" s="85">
        <f>T54</f>
        <v>24</v>
      </c>
      <c r="J54" s="86">
        <v>12.77</v>
      </c>
      <c r="K54" s="87">
        <f>U54</f>
        <v>306</v>
      </c>
      <c r="O54" s="23"/>
      <c r="P54" s="23"/>
      <c r="Q54" s="23"/>
      <c r="R54" s="23"/>
      <c r="S54" s="23"/>
      <c r="T54" s="23">
        <f>ROUND(Source!AD27*Source!AV27*Source!I27,0)</f>
        <v>24</v>
      </c>
      <c r="U54" s="23">
        <f>Source!Q27</f>
        <v>306</v>
      </c>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f>T54</f>
        <v>24</v>
      </c>
      <c r="DR54" s="23"/>
      <c r="DS54" s="23">
        <f>U54</f>
        <v>306</v>
      </c>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f>T54</f>
        <v>24</v>
      </c>
      <c r="GK54" s="23"/>
      <c r="GL54" s="23">
        <f>T54</f>
        <v>24</v>
      </c>
      <c r="GM54" s="23"/>
      <c r="GN54" s="23"/>
      <c r="GO54" s="23"/>
      <c r="GP54" s="23"/>
      <c r="GQ54" s="23"/>
      <c r="GR54" s="23"/>
      <c r="GS54" s="23"/>
      <c r="GT54" s="23"/>
      <c r="GU54" s="23"/>
      <c r="GV54" s="23"/>
      <c r="GW54" s="23"/>
      <c r="GX54" s="23"/>
      <c r="GY54" s="23"/>
      <c r="GZ54" s="23"/>
      <c r="HA54" s="23"/>
      <c r="HB54" s="23">
        <f>T54</f>
        <v>24</v>
      </c>
      <c r="HC54" s="23"/>
      <c r="HD54" s="23"/>
      <c r="HE54" s="23"/>
      <c r="HF54" s="23">
        <f>T54</f>
        <v>24</v>
      </c>
      <c r="HG54" s="23"/>
      <c r="HH54" s="23"/>
      <c r="HI54" s="23"/>
      <c r="HJ54" s="23"/>
      <c r="HK54" s="23"/>
      <c r="HL54" s="23">
        <f>T54</f>
        <v>24</v>
      </c>
      <c r="HM54" s="23"/>
      <c r="HN54" s="23">
        <f>T54</f>
        <v>24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x14ac:dyDescent="0.2">
      <c r="A55" s="79"/>
      <c r="B55" s="80"/>
      <c r="C55" s="80" t="s">
        <v>350</v>
      </c>
      <c r="D55" s="81"/>
      <c r="E55" s="82"/>
      <c r="F55" s="83">
        <v>0.14000000000000001</v>
      </c>
      <c r="G55" s="84"/>
      <c r="H55" s="83">
        <f>Source!AE27</f>
        <v>0.14000000000000001</v>
      </c>
      <c r="I55" s="85">
        <f>GM55</f>
        <v>3</v>
      </c>
      <c r="J55" s="86">
        <v>30.1</v>
      </c>
      <c r="K55" s="87">
        <f>Source!R27</f>
        <v>81</v>
      </c>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f>ROUND(Source!AE27*Source!AV27*Source!I27,0)</f>
        <v>3</v>
      </c>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f>GM55</f>
        <v>3</v>
      </c>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8"/>
      <c r="B56" s="89"/>
      <c r="C56" s="89" t="s">
        <v>351</v>
      </c>
      <c r="D56" s="90"/>
      <c r="E56" s="91">
        <v>105</v>
      </c>
      <c r="F56" s="92" t="s">
        <v>352</v>
      </c>
      <c r="G56" s="93"/>
      <c r="H56" s="94">
        <f>ROUND((Source!AF27*Source!AV27+Source!AE27*Source!AV27)*(Source!FX27)/100,2)</f>
        <v>82.65</v>
      </c>
      <c r="I56" s="95">
        <f>T56</f>
        <v>1584</v>
      </c>
      <c r="J56" s="97">
        <v>1.05</v>
      </c>
      <c r="K56" s="96" t="e">
        <f>U56</f>
        <v>#REF!</v>
      </c>
      <c r="O56" s="23"/>
      <c r="P56" s="23"/>
      <c r="Q56" s="23"/>
      <c r="R56" s="23"/>
      <c r="S56" s="23"/>
      <c r="T56" s="23">
        <f>ROUND((ROUND(Source!AF27*Source!AV27*Source!I27,0)+ROUND(Source!AE27*Source!AV27*Source!I27,0))*(Source!DN27)/100,0)</f>
        <v>1584</v>
      </c>
      <c r="U56" s="23" t="e">
        <f>Source!X27</f>
        <v>#REF!</v>
      </c>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v>1</v>
      </c>
      <c r="CW56" s="23"/>
      <c r="CX56" s="23"/>
      <c r="CY56" s="23"/>
      <c r="CZ56" s="23"/>
      <c r="DA56" s="23"/>
      <c r="DB56" s="23"/>
      <c r="DC56" s="23"/>
      <c r="DD56" s="23"/>
      <c r="DE56" s="23"/>
      <c r="DF56" s="23"/>
      <c r="DG56" s="23"/>
      <c r="DH56" s="23"/>
      <c r="DI56" s="23"/>
      <c r="DJ56" s="23"/>
      <c r="DK56" s="23"/>
      <c r="DL56" s="23"/>
      <c r="DM56" s="23"/>
      <c r="DN56" s="23"/>
      <c r="DO56" s="23"/>
      <c r="DP56" s="23"/>
      <c r="DQ56" s="23">
        <f>T56</f>
        <v>1584</v>
      </c>
      <c r="DR56" s="23"/>
      <c r="DS56" s="23" t="e">
        <f>U56</f>
        <v>#REF!</v>
      </c>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f>T56</f>
        <v>1584</v>
      </c>
      <c r="GZ56" s="23"/>
      <c r="HA56" s="23"/>
      <c r="HB56" s="23">
        <f>T56</f>
        <v>1584</v>
      </c>
      <c r="HC56" s="23"/>
      <c r="HD56" s="23"/>
      <c r="HE56" s="23"/>
      <c r="HF56" s="23">
        <f>T56</f>
        <v>1584</v>
      </c>
      <c r="HG56" s="23"/>
      <c r="HH56" s="23"/>
      <c r="HI56" s="23"/>
      <c r="HJ56" s="23"/>
      <c r="HK56" s="23"/>
      <c r="HL56" s="23">
        <f>T56</f>
        <v>1584</v>
      </c>
      <c r="HM56" s="23"/>
      <c r="HN56" s="23">
        <f>T56</f>
        <v>1584</v>
      </c>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88"/>
      <c r="B57" s="89"/>
      <c r="C57" s="89" t="s">
        <v>353</v>
      </c>
      <c r="D57" s="90"/>
      <c r="E57" s="91">
        <v>55</v>
      </c>
      <c r="F57" s="92" t="s">
        <v>352</v>
      </c>
      <c r="G57" s="93"/>
      <c r="H57" s="94">
        <f>ROUND((Source!AF27*Source!AV27+Source!AE27*Source!AV27)*(Source!FY27)/100,2)</f>
        <v>43.29</v>
      </c>
      <c r="I57" s="95">
        <f>T57</f>
        <v>830</v>
      </c>
      <c r="J57" s="97">
        <v>0.55000000000000004</v>
      </c>
      <c r="K57" s="96" t="e">
        <f>U57</f>
        <v>#REF!</v>
      </c>
      <c r="O57" s="23"/>
      <c r="P57" s="23"/>
      <c r="Q57" s="23"/>
      <c r="R57" s="23"/>
      <c r="S57" s="23"/>
      <c r="T57" s="23">
        <f>ROUND((ROUND(Source!AF27*Source!AV27*Source!I27,0)+ROUND(Source!AE27*Source!AV27*Source!I27,0))*(Source!DO27)/100,0)</f>
        <v>830</v>
      </c>
      <c r="U57" s="23" t="e">
        <f>Source!Y27</f>
        <v>#REF!</v>
      </c>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v>1</v>
      </c>
      <c r="CW57" s="23"/>
      <c r="CX57" s="23"/>
      <c r="CY57" s="23"/>
      <c r="CZ57" s="23"/>
      <c r="DA57" s="23"/>
      <c r="DB57" s="23"/>
      <c r="DC57" s="23"/>
      <c r="DD57" s="23"/>
      <c r="DE57" s="23"/>
      <c r="DF57" s="23"/>
      <c r="DG57" s="23"/>
      <c r="DH57" s="23"/>
      <c r="DI57" s="23"/>
      <c r="DJ57" s="23"/>
      <c r="DK57" s="23"/>
      <c r="DL57" s="23"/>
      <c r="DM57" s="23"/>
      <c r="DN57" s="23"/>
      <c r="DO57" s="23"/>
      <c r="DP57" s="23"/>
      <c r="DQ57" s="23">
        <f>T57</f>
        <v>830</v>
      </c>
      <c r="DR57" s="23"/>
      <c r="DS57" s="23" t="e">
        <f>U57</f>
        <v>#REF!</v>
      </c>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f>T57</f>
        <v>830</v>
      </c>
      <c r="HA57" s="23"/>
      <c r="HB57" s="23">
        <f>T57</f>
        <v>830</v>
      </c>
      <c r="HC57" s="23"/>
      <c r="HD57" s="23"/>
      <c r="HE57" s="23"/>
      <c r="HF57" s="23">
        <f>T57</f>
        <v>830</v>
      </c>
      <c r="HG57" s="23"/>
      <c r="HH57" s="23"/>
      <c r="HI57" s="23"/>
      <c r="HJ57" s="23"/>
      <c r="HK57" s="23"/>
      <c r="HL57" s="23">
        <f>T57</f>
        <v>830</v>
      </c>
      <c r="HM57" s="23"/>
      <c r="HN57" s="23">
        <f>T57</f>
        <v>830</v>
      </c>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x14ac:dyDescent="0.2">
      <c r="A58" s="79"/>
      <c r="B58" s="80"/>
      <c r="C58" s="80" t="s">
        <v>354</v>
      </c>
      <c r="D58" s="81" t="s">
        <v>355</v>
      </c>
      <c r="E58" s="82">
        <v>8.1</v>
      </c>
      <c r="F58" s="83"/>
      <c r="G58" s="84"/>
      <c r="H58" s="83" t="e">
        <f>ROUND(Source!AH27,2)</f>
        <v>#REF!</v>
      </c>
      <c r="I58" s="98" t="e">
        <f>Source!U27</f>
        <v>#REF!</v>
      </c>
      <c r="J58" s="86"/>
      <c r="K58" s="87"/>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101" t="s">
        <v>30</v>
      </c>
      <c r="B59" s="110" t="s">
        <v>31</v>
      </c>
      <c r="C59" s="102" t="s">
        <v>32</v>
      </c>
      <c r="D59" s="103" t="s">
        <v>33</v>
      </c>
      <c r="E59" s="104">
        <f>Source!I29</f>
        <v>1.9163999999999999</v>
      </c>
      <c r="F59" s="105">
        <v>1.82</v>
      </c>
      <c r="G59" s="106"/>
      <c r="H59" s="105">
        <f>Source!AC28</f>
        <v>1.82</v>
      </c>
      <c r="I59" s="107">
        <f>T59</f>
        <v>3</v>
      </c>
      <c r="J59" s="108" t="s">
        <v>356</v>
      </c>
      <c r="K59" s="109">
        <f>U59</f>
        <v>62</v>
      </c>
      <c r="L59" s="23"/>
      <c r="M59" s="23"/>
      <c r="N59" s="23"/>
      <c r="O59" s="23"/>
      <c r="P59" s="23"/>
      <c r="Q59" s="23"/>
      <c r="R59" s="23"/>
      <c r="S59" s="23"/>
      <c r="T59" s="23">
        <f>ROUND(Source!AC28*Source!AW28*Source!I28,0)</f>
        <v>3</v>
      </c>
      <c r="U59" s="23">
        <f>Source!P29</f>
        <v>62</v>
      </c>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v>1</v>
      </c>
      <c r="CW59" s="23"/>
      <c r="CX59" s="23"/>
      <c r="CY59" s="23"/>
      <c r="CZ59" s="23"/>
      <c r="DA59" s="23"/>
      <c r="DB59" s="23"/>
      <c r="DC59" s="23"/>
      <c r="DD59" s="23"/>
      <c r="DE59" s="23"/>
      <c r="DF59" s="23"/>
      <c r="DG59" s="23"/>
      <c r="DH59" s="23"/>
      <c r="DI59" s="23"/>
      <c r="DJ59" s="23"/>
      <c r="DK59" s="23">
        <f>T59</f>
        <v>3</v>
      </c>
      <c r="DL59" s="23"/>
      <c r="DM59" s="23">
        <f>Source!P29</f>
        <v>62</v>
      </c>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f>T59</f>
        <v>3</v>
      </c>
      <c r="GK59" s="23"/>
      <c r="GL59" s="23"/>
      <c r="GM59" s="23"/>
      <c r="GN59" s="23">
        <f>T59</f>
        <v>3</v>
      </c>
      <c r="GO59" s="23"/>
      <c r="GP59" s="23">
        <f>T59</f>
        <v>3</v>
      </c>
      <c r="GQ59" s="23">
        <f>T59</f>
        <v>3</v>
      </c>
      <c r="GR59" s="23"/>
      <c r="GS59" s="23">
        <f>T59</f>
        <v>3</v>
      </c>
      <c r="GT59" s="23"/>
      <c r="GU59" s="23"/>
      <c r="GV59" s="23"/>
      <c r="GW59" s="23"/>
      <c r="GX59" s="23"/>
      <c r="GY59" s="23"/>
      <c r="GZ59" s="23"/>
      <c r="HA59" s="23"/>
      <c r="HB59" s="23">
        <f>T59</f>
        <v>3</v>
      </c>
      <c r="HC59" s="23"/>
      <c r="HD59" s="23"/>
      <c r="HE59" s="23"/>
      <c r="HF59" s="23">
        <f>T59</f>
        <v>3</v>
      </c>
      <c r="HG59" s="23"/>
      <c r="HH59" s="23"/>
      <c r="HI59" s="23"/>
      <c r="HJ59" s="23"/>
      <c r="HK59" s="23"/>
      <c r="HL59" s="23">
        <f>T59</f>
        <v>3</v>
      </c>
      <c r="HM59" s="23"/>
      <c r="HN59" s="23">
        <f>T59</f>
        <v>3</v>
      </c>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x14ac:dyDescent="0.2">
      <c r="A60" s="65"/>
      <c r="B60" s="112" t="s">
        <v>357</v>
      </c>
      <c r="C60" s="112" t="s">
        <v>358</v>
      </c>
      <c r="D60" s="64"/>
      <c r="E60" s="64"/>
      <c r="F60" s="64"/>
      <c r="G60" s="64"/>
      <c r="H60" s="64"/>
      <c r="I60" s="64"/>
      <c r="J60" s="64"/>
      <c r="K60" s="66"/>
    </row>
    <row r="61" spans="1:255" ht="24" x14ac:dyDescent="0.2">
      <c r="A61" s="115" t="s">
        <v>41</v>
      </c>
      <c r="B61" s="116" t="s">
        <v>42</v>
      </c>
      <c r="C61" s="117" t="s">
        <v>43</v>
      </c>
      <c r="D61" s="118" t="s">
        <v>44</v>
      </c>
      <c r="E61" s="119">
        <f>Source!I31</f>
        <v>0.24913200000000002</v>
      </c>
      <c r="F61" s="120">
        <v>11293.16</v>
      </c>
      <c r="G61" s="72"/>
      <c r="H61" s="120">
        <f>Source!AC30</f>
        <v>11293.16</v>
      </c>
      <c r="I61" s="121">
        <f>T61</f>
        <v>2813</v>
      </c>
      <c r="J61" s="74" t="s">
        <v>356</v>
      </c>
      <c r="K61" s="122">
        <f>U61</f>
        <v>10505</v>
      </c>
      <c r="L61" s="23"/>
      <c r="M61" s="23"/>
      <c r="N61" s="23"/>
      <c r="O61" s="23"/>
      <c r="P61" s="23"/>
      <c r="Q61" s="23"/>
      <c r="R61" s="23"/>
      <c r="S61" s="23"/>
      <c r="T61" s="23">
        <f>ROUND(Source!AC30*Source!AW30*Source!I30,0)</f>
        <v>2813</v>
      </c>
      <c r="U61" s="23">
        <f>Source!P31</f>
        <v>10505</v>
      </c>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v>1</v>
      </c>
      <c r="CW61" s="23"/>
      <c r="CX61" s="23"/>
      <c r="CY61" s="23"/>
      <c r="CZ61" s="23"/>
      <c r="DA61" s="23"/>
      <c r="DB61" s="23"/>
      <c r="DC61" s="23"/>
      <c r="DD61" s="23"/>
      <c r="DE61" s="23"/>
      <c r="DF61" s="23"/>
      <c r="DG61" s="23"/>
      <c r="DH61" s="23"/>
      <c r="DI61" s="23"/>
      <c r="DJ61" s="23"/>
      <c r="DK61" s="23">
        <f>T61</f>
        <v>2813</v>
      </c>
      <c r="DL61" s="23"/>
      <c r="DM61" s="23">
        <f>Source!P31</f>
        <v>10505</v>
      </c>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f>T61</f>
        <v>2813</v>
      </c>
      <c r="GK61" s="23"/>
      <c r="GL61" s="23"/>
      <c r="GM61" s="23"/>
      <c r="GN61" s="23">
        <f>T61</f>
        <v>2813</v>
      </c>
      <c r="GO61" s="23"/>
      <c r="GP61" s="23">
        <f>T61</f>
        <v>2813</v>
      </c>
      <c r="GQ61" s="23">
        <f>T61</f>
        <v>2813</v>
      </c>
      <c r="GR61" s="23"/>
      <c r="GS61" s="23">
        <f>T61</f>
        <v>2813</v>
      </c>
      <c r="GT61" s="23"/>
      <c r="GU61" s="23"/>
      <c r="GV61" s="23"/>
      <c r="GW61" s="23"/>
      <c r="GX61" s="23"/>
      <c r="GY61" s="23"/>
      <c r="GZ61" s="23"/>
      <c r="HA61" s="23"/>
      <c r="HB61" s="23">
        <f>T61</f>
        <v>2813</v>
      </c>
      <c r="HC61" s="23"/>
      <c r="HD61" s="23"/>
      <c r="HE61" s="23"/>
      <c r="HF61" s="23">
        <f>T61</f>
        <v>2813</v>
      </c>
      <c r="HG61" s="23"/>
      <c r="HH61" s="23"/>
      <c r="HI61" s="23"/>
      <c r="HJ61" s="23"/>
      <c r="HK61" s="23"/>
      <c r="HL61" s="23">
        <f>T61</f>
        <v>2813</v>
      </c>
      <c r="HM61" s="23"/>
      <c r="HN61" s="23">
        <f>T61</f>
        <v>2813</v>
      </c>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99"/>
      <c r="B62" s="114" t="s">
        <v>357</v>
      </c>
      <c r="C62" s="114" t="s">
        <v>359</v>
      </c>
      <c r="D62" s="33"/>
      <c r="E62" s="33"/>
      <c r="F62" s="33"/>
      <c r="G62" s="33"/>
      <c r="H62" s="33"/>
      <c r="I62" s="33"/>
      <c r="J62" s="33"/>
      <c r="K62" s="100"/>
    </row>
    <row r="63" spans="1:255" ht="13.5" thickBot="1" x14ac:dyDescent="0.25">
      <c r="A63" s="125"/>
      <c r="B63" s="126"/>
      <c r="C63" s="126" t="s">
        <v>360</v>
      </c>
      <c r="D63" s="126"/>
      <c r="E63" s="126"/>
      <c r="F63" s="126"/>
      <c r="G63" s="126"/>
      <c r="H63" s="309">
        <f>SUM(DK52:DK62)</f>
        <v>2816</v>
      </c>
      <c r="I63" s="310"/>
      <c r="J63" s="309">
        <f>SUM(DM52:DM62)</f>
        <v>10567</v>
      </c>
      <c r="K63" s="311"/>
      <c r="L63" s="113"/>
      <c r="M63" s="113"/>
      <c r="N63" s="11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4"/>
      <c r="B64" s="123"/>
      <c r="C64" s="123" t="s">
        <v>361</v>
      </c>
      <c r="D64" s="123"/>
      <c r="E64" s="123"/>
      <c r="F64" s="123"/>
      <c r="G64" s="123"/>
      <c r="H64" s="312">
        <f>R64</f>
        <v>6760</v>
      </c>
      <c r="I64" s="313"/>
      <c r="J64" s="312" t="e">
        <f>S64</f>
        <v>#REF!</v>
      </c>
      <c r="K64" s="314"/>
      <c r="O64" s="23"/>
      <c r="P64" s="23"/>
      <c r="Q64" s="23"/>
      <c r="R64" s="23">
        <f>SUM(T52:T63)</f>
        <v>6760</v>
      </c>
      <c r="S64" s="23" t="e">
        <f>SUM(U52:U63)</f>
        <v>#REF!</v>
      </c>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f>R64</f>
        <v>6760</v>
      </c>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ht="13.5" thickBot="1" x14ac:dyDescent="0.25">
      <c r="A65" s="78"/>
      <c r="B65" s="77"/>
      <c r="C65" s="77"/>
      <c r="D65" s="77"/>
      <c r="E65" s="77"/>
      <c r="F65" s="77"/>
      <c r="G65" s="77"/>
      <c r="H65" s="306"/>
      <c r="I65" s="307"/>
      <c r="J65" s="306"/>
      <c r="K65" s="308"/>
    </row>
    <row r="66" spans="1:255" x14ac:dyDescent="0.2">
      <c r="A66" s="50"/>
      <c r="B66" s="50"/>
      <c r="C66" s="50"/>
      <c r="D66" s="50"/>
      <c r="E66" s="50"/>
      <c r="F66" s="50"/>
      <c r="G66" s="50"/>
      <c r="H66" s="50"/>
      <c r="I66" s="50"/>
      <c r="J66" s="50"/>
      <c r="K66" s="50"/>
    </row>
    <row r="67" spans="1:255" x14ac:dyDescent="0.2">
      <c r="A67" s="51"/>
      <c r="B67" s="51"/>
      <c r="C67" s="290" t="s">
        <v>47</v>
      </c>
      <c r="D67" s="290"/>
      <c r="E67" s="290"/>
      <c r="F67" s="290"/>
      <c r="G67" s="290"/>
      <c r="H67" s="290"/>
      <c r="I67" s="290"/>
      <c r="J67" s="290"/>
      <c r="K67" s="290"/>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52" t="str">
        <f>C67</f>
        <v>Стены</v>
      </c>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ht="13.5" thickBot="1" x14ac:dyDescent="0.25"/>
    <row r="69" spans="1:255" x14ac:dyDescent="0.2">
      <c r="A69" s="54">
        <v>2</v>
      </c>
      <c r="B69" s="62" t="s">
        <v>48</v>
      </c>
      <c r="C69" s="55" t="s">
        <v>49</v>
      </c>
      <c r="D69" s="56" t="s">
        <v>50</v>
      </c>
      <c r="E69" s="57">
        <v>27.713000000000001</v>
      </c>
      <c r="F69" s="58">
        <f>Source!AK34</f>
        <v>11.84</v>
      </c>
      <c r="G69" s="63" t="s">
        <v>6</v>
      </c>
      <c r="H69" s="58"/>
      <c r="I69" s="59">
        <f>SUM(DQ69:DQ80)</f>
        <v>798</v>
      </c>
      <c r="J69" s="60" t="s">
        <v>48</v>
      </c>
      <c r="K69" s="61" t="e">
        <f>SUM(DS69:DS80)</f>
        <v>#REF!</v>
      </c>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67"/>
      <c r="B70" s="68"/>
      <c r="C70" s="68" t="s">
        <v>348</v>
      </c>
      <c r="D70" s="69"/>
      <c r="E70" s="70"/>
      <c r="F70" s="71">
        <v>10.67</v>
      </c>
      <c r="G70" s="72"/>
      <c r="H70" s="71">
        <f>Source!AF34</f>
        <v>10.67</v>
      </c>
      <c r="I70" s="73">
        <f>T70</f>
        <v>296</v>
      </c>
      <c r="J70" s="74">
        <v>38.19</v>
      </c>
      <c r="K70" s="75">
        <f>U70</f>
        <v>11293</v>
      </c>
      <c r="O70" s="23"/>
      <c r="P70" s="23"/>
      <c r="Q70" s="23"/>
      <c r="R70" s="23"/>
      <c r="S70" s="23"/>
      <c r="T70" s="23">
        <f>ROUND(Source!AF34*Source!AV34*Source!I34,0)</f>
        <v>296</v>
      </c>
      <c r="U70" s="23">
        <f>Source!S34</f>
        <v>11293</v>
      </c>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v>1</v>
      </c>
      <c r="CW70" s="23"/>
      <c r="CX70" s="23"/>
      <c r="CY70" s="23"/>
      <c r="CZ70" s="23"/>
      <c r="DA70" s="23"/>
      <c r="DB70" s="23"/>
      <c r="DC70" s="23"/>
      <c r="DD70" s="23"/>
      <c r="DE70" s="23"/>
      <c r="DF70" s="23"/>
      <c r="DG70" s="23">
        <f>Source!S34</f>
        <v>11293</v>
      </c>
      <c r="DH70" s="23">
        <v>1004</v>
      </c>
      <c r="DI70" s="23"/>
      <c r="DJ70" s="23"/>
      <c r="DK70" s="23"/>
      <c r="DL70" s="23"/>
      <c r="DM70" s="23"/>
      <c r="DN70" s="23"/>
      <c r="DO70" s="23"/>
      <c r="DP70" s="23"/>
      <c r="DQ70" s="23">
        <f>T70</f>
        <v>296</v>
      </c>
      <c r="DR70" s="23"/>
      <c r="DS70" s="23">
        <f>U70</f>
        <v>11293</v>
      </c>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f>T70</f>
        <v>296</v>
      </c>
      <c r="GK70" s="23">
        <f>T70</f>
        <v>296</v>
      </c>
      <c r="GL70" s="23"/>
      <c r="GM70" s="23"/>
      <c r="GN70" s="23"/>
      <c r="GO70" s="23"/>
      <c r="GP70" s="23"/>
      <c r="GQ70" s="23"/>
      <c r="GR70" s="23"/>
      <c r="GS70" s="23"/>
      <c r="GT70" s="23"/>
      <c r="GU70" s="23"/>
      <c r="GV70" s="23"/>
      <c r="GW70" s="23"/>
      <c r="GX70" s="23"/>
      <c r="GY70" s="23"/>
      <c r="GZ70" s="23"/>
      <c r="HA70" s="23"/>
      <c r="HB70" s="23">
        <f>T70</f>
        <v>296</v>
      </c>
      <c r="HC70" s="23"/>
      <c r="HD70" s="23"/>
      <c r="HE70" s="23"/>
      <c r="HF70" s="23">
        <f>T70</f>
        <v>296</v>
      </c>
      <c r="HG70" s="23"/>
      <c r="HH70" s="23"/>
      <c r="HI70" s="23"/>
      <c r="HJ70" s="23"/>
      <c r="HK70" s="23"/>
      <c r="HL70" s="23">
        <f>T70</f>
        <v>296</v>
      </c>
      <c r="HM70" s="23"/>
      <c r="HN70" s="23">
        <f>T70</f>
        <v>296</v>
      </c>
      <c r="HO70" s="23"/>
      <c r="HP70" s="23"/>
      <c r="HQ70" s="23"/>
      <c r="HR70" s="23"/>
      <c r="HS70" s="23"/>
      <c r="HT70" s="23"/>
      <c r="HU70" s="23"/>
      <c r="HV70" s="23"/>
      <c r="HW70" s="23"/>
      <c r="HX70" s="23">
        <f>T70</f>
        <v>296</v>
      </c>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79"/>
      <c r="B71" s="80"/>
      <c r="C71" s="80" t="s">
        <v>349</v>
      </c>
      <c r="D71" s="81"/>
      <c r="E71" s="82"/>
      <c r="F71" s="83">
        <v>0.99</v>
      </c>
      <c r="G71" s="84"/>
      <c r="H71" s="83">
        <f>Source!AD34</f>
        <v>0.99</v>
      </c>
      <c r="I71" s="85">
        <f>T71</f>
        <v>27</v>
      </c>
      <c r="J71" s="86">
        <v>12.77</v>
      </c>
      <c r="K71" s="87">
        <f>U71</f>
        <v>350</v>
      </c>
      <c r="O71" s="23"/>
      <c r="P71" s="23"/>
      <c r="Q71" s="23"/>
      <c r="R71" s="23"/>
      <c r="S71" s="23"/>
      <c r="T71" s="23">
        <f>ROUND(Source!AD34*Source!AV34*Source!I34,0)</f>
        <v>27</v>
      </c>
      <c r="U71" s="23">
        <f>Source!Q34</f>
        <v>350</v>
      </c>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v>1</v>
      </c>
      <c r="CW71" s="23"/>
      <c r="CX71" s="23"/>
      <c r="CY71" s="23"/>
      <c r="CZ71" s="23"/>
      <c r="DA71" s="23"/>
      <c r="DB71" s="23"/>
      <c r="DC71" s="23"/>
      <c r="DD71" s="23"/>
      <c r="DE71" s="23"/>
      <c r="DF71" s="23"/>
      <c r="DG71" s="23"/>
      <c r="DH71" s="23"/>
      <c r="DI71" s="23"/>
      <c r="DJ71" s="23"/>
      <c r="DK71" s="23"/>
      <c r="DL71" s="23"/>
      <c r="DM71" s="23"/>
      <c r="DN71" s="23"/>
      <c r="DO71" s="23"/>
      <c r="DP71" s="23"/>
      <c r="DQ71" s="23">
        <f>T71</f>
        <v>27</v>
      </c>
      <c r="DR71" s="23"/>
      <c r="DS71" s="23">
        <f>U71</f>
        <v>350</v>
      </c>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f>T71</f>
        <v>27</v>
      </c>
      <c r="GK71" s="23"/>
      <c r="GL71" s="23">
        <f>T71</f>
        <v>27</v>
      </c>
      <c r="GM71" s="23"/>
      <c r="GN71" s="23"/>
      <c r="GO71" s="23"/>
      <c r="GP71" s="23"/>
      <c r="GQ71" s="23"/>
      <c r="GR71" s="23"/>
      <c r="GS71" s="23"/>
      <c r="GT71" s="23"/>
      <c r="GU71" s="23"/>
      <c r="GV71" s="23"/>
      <c r="GW71" s="23"/>
      <c r="GX71" s="23"/>
      <c r="GY71" s="23"/>
      <c r="GZ71" s="23"/>
      <c r="HA71" s="23"/>
      <c r="HB71" s="23">
        <f>T71</f>
        <v>27</v>
      </c>
      <c r="HC71" s="23"/>
      <c r="HD71" s="23"/>
      <c r="HE71" s="23"/>
      <c r="HF71" s="23">
        <f>T71</f>
        <v>27</v>
      </c>
      <c r="HG71" s="23"/>
      <c r="HH71" s="23"/>
      <c r="HI71" s="23"/>
      <c r="HJ71" s="23"/>
      <c r="HK71" s="23"/>
      <c r="HL71" s="23">
        <f>T71</f>
        <v>27</v>
      </c>
      <c r="HM71" s="23"/>
      <c r="HN71" s="23">
        <f>T71</f>
        <v>27</v>
      </c>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x14ac:dyDescent="0.2">
      <c r="A72" s="79"/>
      <c r="B72" s="80"/>
      <c r="C72" s="80" t="s">
        <v>350</v>
      </c>
      <c r="D72" s="81"/>
      <c r="E72" s="82"/>
      <c r="F72" s="83">
        <v>0.03</v>
      </c>
      <c r="G72" s="84"/>
      <c r="H72" s="83">
        <f>Source!AE34</f>
        <v>0.03</v>
      </c>
      <c r="I72" s="85">
        <f>GM72</f>
        <v>1</v>
      </c>
      <c r="J72" s="86">
        <v>30.1</v>
      </c>
      <c r="K72" s="87">
        <f>Source!R34</f>
        <v>25</v>
      </c>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f>ROUND(Source!AE34*Source!AV34*Source!I34,0)</f>
        <v>1</v>
      </c>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f>GM72</f>
        <v>1</v>
      </c>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88"/>
      <c r="B73" s="89"/>
      <c r="C73" s="89" t="s">
        <v>351</v>
      </c>
      <c r="D73" s="90"/>
      <c r="E73" s="91">
        <v>105</v>
      </c>
      <c r="F73" s="92" t="s">
        <v>352</v>
      </c>
      <c r="G73" s="93"/>
      <c r="H73" s="94">
        <f>ROUND((Source!AF34*Source!AV34+Source!AE34*Source!AV34)*(Source!FX34)/100,2)</f>
        <v>11.24</v>
      </c>
      <c r="I73" s="95">
        <f>T73</f>
        <v>312</v>
      </c>
      <c r="J73" s="97">
        <v>1.05</v>
      </c>
      <c r="K73" s="96" t="e">
        <f>U73</f>
        <v>#REF!</v>
      </c>
      <c r="O73" s="23"/>
      <c r="P73" s="23"/>
      <c r="Q73" s="23"/>
      <c r="R73" s="23"/>
      <c r="S73" s="23"/>
      <c r="T73" s="23">
        <f>ROUND((ROUND(Source!AF34*Source!AV34*Source!I34,0)+ROUND(Source!AE34*Source!AV34*Source!I34,0))*(Source!DN34)/100,0)</f>
        <v>312</v>
      </c>
      <c r="U73" s="23" t="e">
        <f>Source!X34</f>
        <v>#REF!</v>
      </c>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v>1</v>
      </c>
      <c r="CW73" s="23"/>
      <c r="CX73" s="23"/>
      <c r="CY73" s="23"/>
      <c r="CZ73" s="23"/>
      <c r="DA73" s="23"/>
      <c r="DB73" s="23"/>
      <c r="DC73" s="23"/>
      <c r="DD73" s="23"/>
      <c r="DE73" s="23"/>
      <c r="DF73" s="23"/>
      <c r="DG73" s="23"/>
      <c r="DH73" s="23"/>
      <c r="DI73" s="23"/>
      <c r="DJ73" s="23"/>
      <c r="DK73" s="23"/>
      <c r="DL73" s="23"/>
      <c r="DM73" s="23"/>
      <c r="DN73" s="23"/>
      <c r="DO73" s="23"/>
      <c r="DP73" s="23"/>
      <c r="DQ73" s="23">
        <f>T73</f>
        <v>312</v>
      </c>
      <c r="DR73" s="23"/>
      <c r="DS73" s="23" t="e">
        <f>U73</f>
        <v>#REF!</v>
      </c>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f>T73</f>
        <v>312</v>
      </c>
      <c r="GZ73" s="23"/>
      <c r="HA73" s="23"/>
      <c r="HB73" s="23">
        <f>T73</f>
        <v>312</v>
      </c>
      <c r="HC73" s="23"/>
      <c r="HD73" s="23"/>
      <c r="HE73" s="23"/>
      <c r="HF73" s="23">
        <f>T73</f>
        <v>312</v>
      </c>
      <c r="HG73" s="23"/>
      <c r="HH73" s="23"/>
      <c r="HI73" s="23"/>
      <c r="HJ73" s="23"/>
      <c r="HK73" s="23"/>
      <c r="HL73" s="23">
        <f>T73</f>
        <v>312</v>
      </c>
      <c r="HM73" s="23"/>
      <c r="HN73" s="23">
        <f>T73</f>
        <v>312</v>
      </c>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x14ac:dyDescent="0.2">
      <c r="A74" s="88"/>
      <c r="B74" s="89"/>
      <c r="C74" s="89" t="s">
        <v>353</v>
      </c>
      <c r="D74" s="90"/>
      <c r="E74" s="91">
        <v>55</v>
      </c>
      <c r="F74" s="92" t="s">
        <v>352</v>
      </c>
      <c r="G74" s="93"/>
      <c r="H74" s="94">
        <f>ROUND((Source!AF34*Source!AV34+Source!AE34*Source!AV34)*(Source!FY34)/100,2)</f>
        <v>5.89</v>
      </c>
      <c r="I74" s="95">
        <f>T74</f>
        <v>163</v>
      </c>
      <c r="J74" s="97">
        <v>0.55000000000000004</v>
      </c>
      <c r="K74" s="96" t="e">
        <f>U74</f>
        <v>#REF!</v>
      </c>
      <c r="O74" s="23"/>
      <c r="P74" s="23"/>
      <c r="Q74" s="23"/>
      <c r="R74" s="23"/>
      <c r="S74" s="23"/>
      <c r="T74" s="23">
        <f>ROUND((ROUND(Source!AF34*Source!AV34*Source!I34,0)+ROUND(Source!AE34*Source!AV34*Source!I34,0))*(Source!DO34)/100,0)</f>
        <v>163</v>
      </c>
      <c r="U74" s="23" t="e">
        <f>Source!Y34</f>
        <v>#REF!</v>
      </c>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f>T74</f>
        <v>163</v>
      </c>
      <c r="DR74" s="23"/>
      <c r="DS74" s="23" t="e">
        <f>U74</f>
        <v>#REF!</v>
      </c>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f>T74</f>
        <v>163</v>
      </c>
      <c r="HA74" s="23"/>
      <c r="HB74" s="23">
        <f>T74</f>
        <v>163</v>
      </c>
      <c r="HC74" s="23"/>
      <c r="HD74" s="23"/>
      <c r="HE74" s="23"/>
      <c r="HF74" s="23">
        <f>T74</f>
        <v>163</v>
      </c>
      <c r="HG74" s="23"/>
      <c r="HH74" s="23"/>
      <c r="HI74" s="23"/>
      <c r="HJ74" s="23"/>
      <c r="HK74" s="23"/>
      <c r="HL74" s="23">
        <f>T74</f>
        <v>163</v>
      </c>
      <c r="HM74" s="23"/>
      <c r="HN74" s="23">
        <f>T74</f>
        <v>163</v>
      </c>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9"/>
      <c r="B75" s="80"/>
      <c r="C75" s="80" t="s">
        <v>354</v>
      </c>
      <c r="D75" s="81" t="s">
        <v>355</v>
      </c>
      <c r="E75" s="82">
        <v>1.1000000000000001</v>
      </c>
      <c r="F75" s="83"/>
      <c r="G75" s="84"/>
      <c r="H75" s="83" t="e">
        <f>ROUND(Source!AH34,2)</f>
        <v>#REF!</v>
      </c>
      <c r="I75" s="98" t="e">
        <f>Source!U34</f>
        <v>#REF!</v>
      </c>
      <c r="J75" s="86"/>
      <c r="K75" s="87"/>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101" t="s">
        <v>53</v>
      </c>
      <c r="B76" s="110" t="s">
        <v>31</v>
      </c>
      <c r="C76" s="102" t="s">
        <v>32</v>
      </c>
      <c r="D76" s="103" t="s">
        <v>33</v>
      </c>
      <c r="E76" s="104">
        <f>Source!I36</f>
        <v>2.7713000000000001</v>
      </c>
      <c r="F76" s="105">
        <v>1.82</v>
      </c>
      <c r="G76" s="106"/>
      <c r="H76" s="105">
        <f>Source!AC35</f>
        <v>1.82</v>
      </c>
      <c r="I76" s="107">
        <f>T76</f>
        <v>5</v>
      </c>
      <c r="J76" s="108" t="s">
        <v>356</v>
      </c>
      <c r="K76" s="109">
        <f>U76</f>
        <v>90</v>
      </c>
      <c r="L76" s="23"/>
      <c r="M76" s="23"/>
      <c r="N76" s="23"/>
      <c r="O76" s="23"/>
      <c r="P76" s="23"/>
      <c r="Q76" s="23"/>
      <c r="R76" s="23"/>
      <c r="S76" s="23"/>
      <c r="T76" s="23">
        <f>ROUND(Source!AC35*Source!AW35*Source!I35,0)</f>
        <v>5</v>
      </c>
      <c r="U76" s="23">
        <f>Source!P36</f>
        <v>90</v>
      </c>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f>T76</f>
        <v>5</v>
      </c>
      <c r="DL76" s="23"/>
      <c r="DM76" s="23">
        <f>Source!P36</f>
        <v>90</v>
      </c>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f>T76</f>
        <v>5</v>
      </c>
      <c r="GK76" s="23"/>
      <c r="GL76" s="23"/>
      <c r="GM76" s="23"/>
      <c r="GN76" s="23">
        <f>T76</f>
        <v>5</v>
      </c>
      <c r="GO76" s="23"/>
      <c r="GP76" s="23">
        <f>T76</f>
        <v>5</v>
      </c>
      <c r="GQ76" s="23">
        <f>T76</f>
        <v>5</v>
      </c>
      <c r="GR76" s="23"/>
      <c r="GS76" s="23">
        <f>T76</f>
        <v>5</v>
      </c>
      <c r="GT76" s="23"/>
      <c r="GU76" s="23"/>
      <c r="GV76" s="23"/>
      <c r="GW76" s="23"/>
      <c r="GX76" s="23"/>
      <c r="GY76" s="23"/>
      <c r="GZ76" s="23"/>
      <c r="HA76" s="23"/>
      <c r="HB76" s="23">
        <f>T76</f>
        <v>5</v>
      </c>
      <c r="HC76" s="23"/>
      <c r="HD76" s="23"/>
      <c r="HE76" s="23"/>
      <c r="HF76" s="23">
        <f>T76</f>
        <v>5</v>
      </c>
      <c r="HG76" s="23"/>
      <c r="HH76" s="23"/>
      <c r="HI76" s="23"/>
      <c r="HJ76" s="23"/>
      <c r="HK76" s="23"/>
      <c r="HL76" s="23">
        <f>T76</f>
        <v>5</v>
      </c>
      <c r="HM76" s="23"/>
      <c r="HN76" s="23">
        <f>T76</f>
        <v>5</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x14ac:dyDescent="0.2">
      <c r="A77" s="65"/>
      <c r="B77" s="112" t="s">
        <v>357</v>
      </c>
      <c r="C77" s="112" t="s">
        <v>358</v>
      </c>
      <c r="D77" s="64"/>
      <c r="E77" s="64"/>
      <c r="F77" s="64"/>
      <c r="G77" s="64"/>
      <c r="H77" s="64"/>
      <c r="I77" s="64"/>
      <c r="J77" s="64"/>
      <c r="K77" s="66"/>
    </row>
    <row r="78" spans="1:255" ht="24" x14ac:dyDescent="0.2">
      <c r="A78" s="115" t="s">
        <v>54</v>
      </c>
      <c r="B78" s="116" t="s">
        <v>42</v>
      </c>
      <c r="C78" s="117" t="s">
        <v>55</v>
      </c>
      <c r="D78" s="118" t="s">
        <v>44</v>
      </c>
      <c r="E78" s="119">
        <f>Source!I38</f>
        <v>0.36581200000000003</v>
      </c>
      <c r="F78" s="120">
        <v>11293.16</v>
      </c>
      <c r="G78" s="72"/>
      <c r="H78" s="120">
        <f>Source!AC37</f>
        <v>11293.16</v>
      </c>
      <c r="I78" s="121">
        <f>T78</f>
        <v>4131</v>
      </c>
      <c r="J78" s="74" t="s">
        <v>356</v>
      </c>
      <c r="K78" s="122">
        <f>U78</f>
        <v>15424</v>
      </c>
      <c r="L78" s="23"/>
      <c r="M78" s="23"/>
      <c r="N78" s="23"/>
      <c r="O78" s="23"/>
      <c r="P78" s="23"/>
      <c r="Q78" s="23"/>
      <c r="R78" s="23"/>
      <c r="S78" s="23"/>
      <c r="T78" s="23">
        <f>ROUND(Source!AC37*Source!AW37*Source!I37,0)</f>
        <v>4131</v>
      </c>
      <c r="U78" s="23">
        <f>Source!P38</f>
        <v>15424</v>
      </c>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v>1</v>
      </c>
      <c r="CW78" s="23"/>
      <c r="CX78" s="23"/>
      <c r="CY78" s="23"/>
      <c r="CZ78" s="23"/>
      <c r="DA78" s="23"/>
      <c r="DB78" s="23"/>
      <c r="DC78" s="23"/>
      <c r="DD78" s="23"/>
      <c r="DE78" s="23"/>
      <c r="DF78" s="23"/>
      <c r="DG78" s="23"/>
      <c r="DH78" s="23"/>
      <c r="DI78" s="23"/>
      <c r="DJ78" s="23"/>
      <c r="DK78" s="23">
        <f>T78</f>
        <v>4131</v>
      </c>
      <c r="DL78" s="23"/>
      <c r="DM78" s="23">
        <f>Source!P38</f>
        <v>15424</v>
      </c>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f>T78</f>
        <v>4131</v>
      </c>
      <c r="GK78" s="23"/>
      <c r="GL78" s="23"/>
      <c r="GM78" s="23"/>
      <c r="GN78" s="23">
        <f>T78</f>
        <v>4131</v>
      </c>
      <c r="GO78" s="23"/>
      <c r="GP78" s="23">
        <f>T78</f>
        <v>4131</v>
      </c>
      <c r="GQ78" s="23">
        <f>T78</f>
        <v>4131</v>
      </c>
      <c r="GR78" s="23"/>
      <c r="GS78" s="23">
        <f>T78</f>
        <v>4131</v>
      </c>
      <c r="GT78" s="23"/>
      <c r="GU78" s="23"/>
      <c r="GV78" s="23"/>
      <c r="GW78" s="23"/>
      <c r="GX78" s="23"/>
      <c r="GY78" s="23"/>
      <c r="GZ78" s="23"/>
      <c r="HA78" s="23"/>
      <c r="HB78" s="23">
        <f>T78</f>
        <v>4131</v>
      </c>
      <c r="HC78" s="23"/>
      <c r="HD78" s="23"/>
      <c r="HE78" s="23"/>
      <c r="HF78" s="23">
        <f>T78</f>
        <v>4131</v>
      </c>
      <c r="HG78" s="23"/>
      <c r="HH78" s="23"/>
      <c r="HI78" s="23"/>
      <c r="HJ78" s="23"/>
      <c r="HK78" s="23"/>
      <c r="HL78" s="23">
        <f>T78</f>
        <v>4131</v>
      </c>
      <c r="HM78" s="23"/>
      <c r="HN78" s="23">
        <f>T78</f>
        <v>4131</v>
      </c>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x14ac:dyDescent="0.2">
      <c r="A79" s="99"/>
      <c r="B79" s="114" t="s">
        <v>357</v>
      </c>
      <c r="C79" s="114" t="s">
        <v>359</v>
      </c>
      <c r="D79" s="33"/>
      <c r="E79" s="33"/>
      <c r="F79" s="33"/>
      <c r="G79" s="33"/>
      <c r="H79" s="33"/>
      <c r="I79" s="33"/>
      <c r="J79" s="33"/>
      <c r="K79" s="100"/>
    </row>
    <row r="80" spans="1:255" ht="13.5" thickBot="1" x14ac:dyDescent="0.25">
      <c r="A80" s="125"/>
      <c r="B80" s="126"/>
      <c r="C80" s="126" t="s">
        <v>360</v>
      </c>
      <c r="D80" s="126"/>
      <c r="E80" s="126"/>
      <c r="F80" s="126"/>
      <c r="G80" s="126"/>
      <c r="H80" s="309">
        <f>SUM(DK69:DK79)</f>
        <v>4136</v>
      </c>
      <c r="I80" s="310"/>
      <c r="J80" s="309">
        <f>SUM(DM69:DM79)</f>
        <v>15514</v>
      </c>
      <c r="K80" s="311"/>
      <c r="L80" s="113"/>
      <c r="M80" s="113"/>
      <c r="N80" s="11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x14ac:dyDescent="0.2">
      <c r="A81" s="124"/>
      <c r="B81" s="123"/>
      <c r="C81" s="123" t="s">
        <v>361</v>
      </c>
      <c r="D81" s="123"/>
      <c r="E81" s="123"/>
      <c r="F81" s="123"/>
      <c r="G81" s="123"/>
      <c r="H81" s="312">
        <f>R81</f>
        <v>4934</v>
      </c>
      <c r="I81" s="313"/>
      <c r="J81" s="312" t="e">
        <f>S81</f>
        <v>#REF!</v>
      </c>
      <c r="K81" s="314"/>
      <c r="O81" s="23"/>
      <c r="P81" s="23"/>
      <c r="Q81" s="23"/>
      <c r="R81" s="23">
        <f>SUM(T69:T80)</f>
        <v>4934</v>
      </c>
      <c r="S81" s="23" t="e">
        <f>SUM(U69:U80)</f>
        <v>#REF!</v>
      </c>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f>R81</f>
        <v>4934</v>
      </c>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x14ac:dyDescent="0.2">
      <c r="A82" s="78"/>
      <c r="B82" s="77"/>
      <c r="C82" s="77"/>
      <c r="D82" s="77"/>
      <c r="E82" s="77"/>
      <c r="F82" s="77"/>
      <c r="G82" s="77"/>
      <c r="H82" s="306"/>
      <c r="I82" s="307"/>
      <c r="J82" s="306"/>
      <c r="K82" s="308"/>
    </row>
    <row r="83" spans="1:255" ht="36" x14ac:dyDescent="0.2">
      <c r="A83" s="127">
        <v>3</v>
      </c>
      <c r="B83" s="134" t="s">
        <v>57</v>
      </c>
      <c r="C83" s="128" t="s">
        <v>58</v>
      </c>
      <c r="D83" s="129" t="s">
        <v>50</v>
      </c>
      <c r="E83" s="130">
        <v>29.483000000000001</v>
      </c>
      <c r="F83" s="131">
        <f>Source!AK40</f>
        <v>364.82</v>
      </c>
      <c r="G83" s="135" t="s">
        <v>6</v>
      </c>
      <c r="H83" s="131"/>
      <c r="I83" s="132">
        <f>SUM(DQ83:DQ98)</f>
        <v>9972</v>
      </c>
      <c r="J83" s="108" t="s">
        <v>57</v>
      </c>
      <c r="K83" s="133" t="e">
        <f>SUM(DS83:DS98)</f>
        <v>#REF!</v>
      </c>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x14ac:dyDescent="0.2">
      <c r="A84" s="67"/>
      <c r="B84" s="68"/>
      <c r="C84" s="68" t="s">
        <v>348</v>
      </c>
      <c r="D84" s="69"/>
      <c r="E84" s="70"/>
      <c r="F84" s="71">
        <v>127.01</v>
      </c>
      <c r="G84" s="72"/>
      <c r="H84" s="71">
        <f>Source!AF40</f>
        <v>127.01</v>
      </c>
      <c r="I84" s="73">
        <f>T84</f>
        <v>3745</v>
      </c>
      <c r="J84" s="74">
        <v>34.6</v>
      </c>
      <c r="K84" s="75">
        <f>U84</f>
        <v>129564</v>
      </c>
      <c r="O84" s="23"/>
      <c r="P84" s="23"/>
      <c r="Q84" s="23"/>
      <c r="R84" s="23"/>
      <c r="S84" s="23"/>
      <c r="T84" s="23">
        <f>ROUND(Source!AF40*Source!AV40*Source!I40,0)</f>
        <v>3745</v>
      </c>
      <c r="U84" s="23">
        <f>Source!S40</f>
        <v>129564</v>
      </c>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v>1</v>
      </c>
      <c r="CW84" s="23"/>
      <c r="CX84" s="23"/>
      <c r="CY84" s="23"/>
      <c r="CZ84" s="23"/>
      <c r="DA84" s="23"/>
      <c r="DB84" s="23"/>
      <c r="DC84" s="23"/>
      <c r="DD84" s="23"/>
      <c r="DE84" s="23"/>
      <c r="DF84" s="23"/>
      <c r="DG84" s="23">
        <f>Source!S40</f>
        <v>129564</v>
      </c>
      <c r="DH84" s="23">
        <v>1009</v>
      </c>
      <c r="DI84" s="23"/>
      <c r="DJ84" s="23"/>
      <c r="DK84" s="23"/>
      <c r="DL84" s="23"/>
      <c r="DM84" s="23"/>
      <c r="DN84" s="23"/>
      <c r="DO84" s="23"/>
      <c r="DP84" s="23"/>
      <c r="DQ84" s="23">
        <f>T84</f>
        <v>3745</v>
      </c>
      <c r="DR84" s="23"/>
      <c r="DS84" s="23">
        <f>U84</f>
        <v>129564</v>
      </c>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f>T84</f>
        <v>3745</v>
      </c>
      <c r="GK84" s="23">
        <f>T84</f>
        <v>3745</v>
      </c>
      <c r="GL84" s="23"/>
      <c r="GM84" s="23"/>
      <c r="GN84" s="23"/>
      <c r="GO84" s="23"/>
      <c r="GP84" s="23"/>
      <c r="GQ84" s="23"/>
      <c r="GR84" s="23"/>
      <c r="GS84" s="23"/>
      <c r="GT84" s="23"/>
      <c r="GU84" s="23"/>
      <c r="GV84" s="23"/>
      <c r="GW84" s="23"/>
      <c r="GX84" s="23"/>
      <c r="GY84" s="23"/>
      <c r="GZ84" s="23"/>
      <c r="HA84" s="23"/>
      <c r="HB84" s="23">
        <f>T84</f>
        <v>3745</v>
      </c>
      <c r="HC84" s="23"/>
      <c r="HD84" s="23"/>
      <c r="HE84" s="23"/>
      <c r="HF84" s="23">
        <f>T84</f>
        <v>3745</v>
      </c>
      <c r="HG84" s="23"/>
      <c r="HH84" s="23"/>
      <c r="HI84" s="23"/>
      <c r="HJ84" s="23"/>
      <c r="HK84" s="23"/>
      <c r="HL84" s="23">
        <f>T84</f>
        <v>3745</v>
      </c>
      <c r="HM84" s="23"/>
      <c r="HN84" s="23">
        <f>T84</f>
        <v>3745</v>
      </c>
      <c r="HO84" s="23"/>
      <c r="HP84" s="23"/>
      <c r="HQ84" s="23"/>
      <c r="HR84" s="23"/>
      <c r="HS84" s="23"/>
      <c r="HT84" s="23"/>
      <c r="HU84" s="23"/>
      <c r="HV84" s="23"/>
      <c r="HW84" s="23"/>
      <c r="HX84" s="23">
        <f>T84</f>
        <v>3745</v>
      </c>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x14ac:dyDescent="0.2">
      <c r="A85" s="79"/>
      <c r="B85" s="80"/>
      <c r="C85" s="80" t="s">
        <v>349</v>
      </c>
      <c r="D85" s="81"/>
      <c r="E85" s="82"/>
      <c r="F85" s="83">
        <v>7.52</v>
      </c>
      <c r="G85" s="84"/>
      <c r="H85" s="83">
        <f>Source!AD40</f>
        <v>7.52</v>
      </c>
      <c r="I85" s="85">
        <f>T85</f>
        <v>222</v>
      </c>
      <c r="J85" s="86">
        <v>12.77</v>
      </c>
      <c r="K85" s="87">
        <f>U85</f>
        <v>2831</v>
      </c>
      <c r="O85" s="23"/>
      <c r="P85" s="23"/>
      <c r="Q85" s="23"/>
      <c r="R85" s="23"/>
      <c r="S85" s="23"/>
      <c r="T85" s="23">
        <f>ROUND(Source!AD40*Source!AV40*Source!I40,0)</f>
        <v>222</v>
      </c>
      <c r="U85" s="23">
        <f>Source!Q40</f>
        <v>2831</v>
      </c>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v>1</v>
      </c>
      <c r="CW85" s="23"/>
      <c r="CX85" s="23"/>
      <c r="CY85" s="23"/>
      <c r="CZ85" s="23"/>
      <c r="DA85" s="23"/>
      <c r="DB85" s="23"/>
      <c r="DC85" s="23"/>
      <c r="DD85" s="23"/>
      <c r="DE85" s="23"/>
      <c r="DF85" s="23"/>
      <c r="DG85" s="23"/>
      <c r="DH85" s="23"/>
      <c r="DI85" s="23"/>
      <c r="DJ85" s="23"/>
      <c r="DK85" s="23"/>
      <c r="DL85" s="23"/>
      <c r="DM85" s="23"/>
      <c r="DN85" s="23"/>
      <c r="DO85" s="23"/>
      <c r="DP85" s="23"/>
      <c r="DQ85" s="23">
        <f>T85</f>
        <v>222</v>
      </c>
      <c r="DR85" s="23"/>
      <c r="DS85" s="23">
        <f>U85</f>
        <v>2831</v>
      </c>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f>T85</f>
        <v>222</v>
      </c>
      <c r="GK85" s="23"/>
      <c r="GL85" s="23">
        <f>T85</f>
        <v>222</v>
      </c>
      <c r="GM85" s="23"/>
      <c r="GN85" s="23"/>
      <c r="GO85" s="23"/>
      <c r="GP85" s="23"/>
      <c r="GQ85" s="23"/>
      <c r="GR85" s="23"/>
      <c r="GS85" s="23"/>
      <c r="GT85" s="23"/>
      <c r="GU85" s="23"/>
      <c r="GV85" s="23"/>
      <c r="GW85" s="23"/>
      <c r="GX85" s="23"/>
      <c r="GY85" s="23"/>
      <c r="GZ85" s="23"/>
      <c r="HA85" s="23"/>
      <c r="HB85" s="23">
        <f>T85</f>
        <v>222</v>
      </c>
      <c r="HC85" s="23"/>
      <c r="HD85" s="23"/>
      <c r="HE85" s="23"/>
      <c r="HF85" s="23">
        <f>T85</f>
        <v>222</v>
      </c>
      <c r="HG85" s="23"/>
      <c r="HH85" s="23"/>
      <c r="HI85" s="23"/>
      <c r="HJ85" s="23"/>
      <c r="HK85" s="23"/>
      <c r="HL85" s="23">
        <f>T85</f>
        <v>222</v>
      </c>
      <c r="HM85" s="23"/>
      <c r="HN85" s="23">
        <f>T85</f>
        <v>222</v>
      </c>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x14ac:dyDescent="0.2">
      <c r="A86" s="79"/>
      <c r="B86" s="80"/>
      <c r="C86" s="80" t="s">
        <v>350</v>
      </c>
      <c r="D86" s="81"/>
      <c r="E86" s="82"/>
      <c r="F86" s="83">
        <v>0.26</v>
      </c>
      <c r="G86" s="84"/>
      <c r="H86" s="83">
        <f>Source!AE40</f>
        <v>0.26</v>
      </c>
      <c r="I86" s="85">
        <f>GM86</f>
        <v>8</v>
      </c>
      <c r="J86" s="86">
        <v>30.1</v>
      </c>
      <c r="K86" s="87">
        <f>Source!R40</f>
        <v>231</v>
      </c>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f>ROUND(Source!AE40*Source!AV40*Source!I40,0)</f>
        <v>8</v>
      </c>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f>GM86</f>
        <v>8</v>
      </c>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x14ac:dyDescent="0.2">
      <c r="A87" s="88"/>
      <c r="B87" s="89"/>
      <c r="C87" s="89" t="s">
        <v>351</v>
      </c>
      <c r="D87" s="90"/>
      <c r="E87" s="91">
        <v>105</v>
      </c>
      <c r="F87" s="92" t="s">
        <v>352</v>
      </c>
      <c r="G87" s="93"/>
      <c r="H87" s="94">
        <f>ROUND((Source!AF40*Source!AV40+Source!AE40*Source!AV40)*(Source!FX40)/100,2)</f>
        <v>133.63</v>
      </c>
      <c r="I87" s="95">
        <f>T87</f>
        <v>3941</v>
      </c>
      <c r="J87" s="97">
        <v>1.05</v>
      </c>
      <c r="K87" s="96" t="e">
        <f>U87</f>
        <v>#REF!</v>
      </c>
      <c r="O87" s="23"/>
      <c r="P87" s="23"/>
      <c r="Q87" s="23"/>
      <c r="R87" s="23"/>
      <c r="S87" s="23"/>
      <c r="T87" s="23">
        <f>ROUND((ROUND(Source!AF40*Source!AV40*Source!I40,0)+ROUND(Source!AE40*Source!AV40*Source!I40,0))*(Source!DN40)/100,0)</f>
        <v>3941</v>
      </c>
      <c r="U87" s="23" t="e">
        <f>Source!X40</f>
        <v>#REF!</v>
      </c>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v>1</v>
      </c>
      <c r="CW87" s="23"/>
      <c r="CX87" s="23"/>
      <c r="CY87" s="23"/>
      <c r="CZ87" s="23"/>
      <c r="DA87" s="23"/>
      <c r="DB87" s="23"/>
      <c r="DC87" s="23"/>
      <c r="DD87" s="23"/>
      <c r="DE87" s="23"/>
      <c r="DF87" s="23"/>
      <c r="DG87" s="23"/>
      <c r="DH87" s="23"/>
      <c r="DI87" s="23"/>
      <c r="DJ87" s="23"/>
      <c r="DK87" s="23"/>
      <c r="DL87" s="23"/>
      <c r="DM87" s="23"/>
      <c r="DN87" s="23"/>
      <c r="DO87" s="23"/>
      <c r="DP87" s="23"/>
      <c r="DQ87" s="23">
        <f>T87</f>
        <v>3941</v>
      </c>
      <c r="DR87" s="23"/>
      <c r="DS87" s="23" t="e">
        <f>U87</f>
        <v>#REF!</v>
      </c>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f>T87</f>
        <v>3941</v>
      </c>
      <c r="GZ87" s="23"/>
      <c r="HA87" s="23"/>
      <c r="HB87" s="23">
        <f>T87</f>
        <v>3941</v>
      </c>
      <c r="HC87" s="23"/>
      <c r="HD87" s="23"/>
      <c r="HE87" s="23"/>
      <c r="HF87" s="23">
        <f>T87</f>
        <v>3941</v>
      </c>
      <c r="HG87" s="23"/>
      <c r="HH87" s="23"/>
      <c r="HI87" s="23"/>
      <c r="HJ87" s="23"/>
      <c r="HK87" s="23"/>
      <c r="HL87" s="23">
        <f>T87</f>
        <v>3941</v>
      </c>
      <c r="HM87" s="23"/>
      <c r="HN87" s="23">
        <f>T87</f>
        <v>3941</v>
      </c>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x14ac:dyDescent="0.2">
      <c r="A88" s="88"/>
      <c r="B88" s="89"/>
      <c r="C88" s="89" t="s">
        <v>353</v>
      </c>
      <c r="D88" s="90"/>
      <c r="E88" s="91">
        <v>55</v>
      </c>
      <c r="F88" s="92" t="s">
        <v>352</v>
      </c>
      <c r="G88" s="93"/>
      <c r="H88" s="94">
        <f>ROUND((Source!AF40*Source!AV40+Source!AE40*Source!AV40)*(Source!FY40)/100,2)</f>
        <v>70</v>
      </c>
      <c r="I88" s="95">
        <f>T88</f>
        <v>2064</v>
      </c>
      <c r="J88" s="97">
        <v>0.55000000000000004</v>
      </c>
      <c r="K88" s="96" t="e">
        <f>U88</f>
        <v>#REF!</v>
      </c>
      <c r="O88" s="23"/>
      <c r="P88" s="23"/>
      <c r="Q88" s="23"/>
      <c r="R88" s="23"/>
      <c r="S88" s="23"/>
      <c r="T88" s="23">
        <f>ROUND((ROUND(Source!AF40*Source!AV40*Source!I40,0)+ROUND(Source!AE40*Source!AV40*Source!I40,0))*(Source!DO40)/100,0)</f>
        <v>2064</v>
      </c>
      <c r="U88" s="23" t="e">
        <f>Source!Y40</f>
        <v>#REF!</v>
      </c>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v>1</v>
      </c>
      <c r="CW88" s="23"/>
      <c r="CX88" s="23"/>
      <c r="CY88" s="23"/>
      <c r="CZ88" s="23"/>
      <c r="DA88" s="23"/>
      <c r="DB88" s="23"/>
      <c r="DC88" s="23"/>
      <c r="DD88" s="23"/>
      <c r="DE88" s="23"/>
      <c r="DF88" s="23"/>
      <c r="DG88" s="23"/>
      <c r="DH88" s="23"/>
      <c r="DI88" s="23"/>
      <c r="DJ88" s="23"/>
      <c r="DK88" s="23"/>
      <c r="DL88" s="23"/>
      <c r="DM88" s="23"/>
      <c r="DN88" s="23"/>
      <c r="DO88" s="23"/>
      <c r="DP88" s="23"/>
      <c r="DQ88" s="23">
        <f>T88</f>
        <v>2064</v>
      </c>
      <c r="DR88" s="23"/>
      <c r="DS88" s="23" t="e">
        <f>U88</f>
        <v>#REF!</v>
      </c>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f>T88</f>
        <v>2064</v>
      </c>
      <c r="HA88" s="23"/>
      <c r="HB88" s="23">
        <f>T88</f>
        <v>2064</v>
      </c>
      <c r="HC88" s="23"/>
      <c r="HD88" s="23"/>
      <c r="HE88" s="23"/>
      <c r="HF88" s="23">
        <f>T88</f>
        <v>2064</v>
      </c>
      <c r="HG88" s="23"/>
      <c r="HH88" s="23"/>
      <c r="HI88" s="23"/>
      <c r="HJ88" s="23"/>
      <c r="HK88" s="23"/>
      <c r="HL88" s="23">
        <f>T88</f>
        <v>2064</v>
      </c>
      <c r="HM88" s="23"/>
      <c r="HN88" s="23">
        <f>T88</f>
        <v>2064</v>
      </c>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x14ac:dyDescent="0.2">
      <c r="A89" s="79"/>
      <c r="B89" s="80"/>
      <c r="C89" s="80" t="s">
        <v>354</v>
      </c>
      <c r="D89" s="81" t="s">
        <v>355</v>
      </c>
      <c r="E89" s="82">
        <v>13.08</v>
      </c>
      <c r="F89" s="83"/>
      <c r="G89" s="84"/>
      <c r="H89" s="83" t="e">
        <f>ROUND(Source!AH40,2)</f>
        <v>#REF!</v>
      </c>
      <c r="I89" s="98" t="e">
        <f>Source!U40</f>
        <v>#REF!</v>
      </c>
      <c r="J89" s="86"/>
      <c r="K89" s="87"/>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ht="24" x14ac:dyDescent="0.2">
      <c r="A90" s="101" t="s">
        <v>60</v>
      </c>
      <c r="B90" s="110" t="s">
        <v>61</v>
      </c>
      <c r="C90" s="102" t="s">
        <v>62</v>
      </c>
      <c r="D90" s="103" t="s">
        <v>63</v>
      </c>
      <c r="E90" s="104">
        <f>Source!I42</f>
        <v>0.353796</v>
      </c>
      <c r="F90" s="105">
        <v>57.14</v>
      </c>
      <c r="G90" s="106"/>
      <c r="H90" s="105">
        <f>Source!AC41</f>
        <v>57.14</v>
      </c>
      <c r="I90" s="107">
        <f>T90</f>
        <v>20</v>
      </c>
      <c r="J90" s="108" t="s">
        <v>356</v>
      </c>
      <c r="K90" s="109">
        <f>U90</f>
        <v>93</v>
      </c>
      <c r="L90" s="23"/>
      <c r="M90" s="23"/>
      <c r="N90" s="23"/>
      <c r="O90" s="23"/>
      <c r="P90" s="23"/>
      <c r="Q90" s="23"/>
      <c r="R90" s="23"/>
      <c r="S90" s="23"/>
      <c r="T90" s="23">
        <f>ROUND(Source!AC41*Source!AW41*Source!I41,0)</f>
        <v>20</v>
      </c>
      <c r="U90" s="23">
        <f>Source!P42</f>
        <v>93</v>
      </c>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v>1</v>
      </c>
      <c r="CW90" s="23"/>
      <c r="CX90" s="23"/>
      <c r="CY90" s="23"/>
      <c r="CZ90" s="23"/>
      <c r="DA90" s="23"/>
      <c r="DB90" s="23"/>
      <c r="DC90" s="23"/>
      <c r="DD90" s="23"/>
      <c r="DE90" s="23"/>
      <c r="DF90" s="23"/>
      <c r="DG90" s="23"/>
      <c r="DH90" s="23"/>
      <c r="DI90" s="23"/>
      <c r="DJ90" s="23"/>
      <c r="DK90" s="23">
        <f>T90</f>
        <v>20</v>
      </c>
      <c r="DL90" s="23"/>
      <c r="DM90" s="23">
        <f>Source!P42</f>
        <v>93</v>
      </c>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f>T90</f>
        <v>20</v>
      </c>
      <c r="GK90" s="23"/>
      <c r="GL90" s="23"/>
      <c r="GM90" s="23"/>
      <c r="GN90" s="23">
        <f>T90</f>
        <v>20</v>
      </c>
      <c r="GO90" s="23"/>
      <c r="GP90" s="23">
        <f>T90</f>
        <v>20</v>
      </c>
      <c r="GQ90" s="23">
        <f>T90</f>
        <v>20</v>
      </c>
      <c r="GR90" s="23"/>
      <c r="GS90" s="23">
        <f>T90</f>
        <v>20</v>
      </c>
      <c r="GT90" s="23"/>
      <c r="GU90" s="23"/>
      <c r="GV90" s="23"/>
      <c r="GW90" s="23"/>
      <c r="GX90" s="23"/>
      <c r="GY90" s="23"/>
      <c r="GZ90" s="23"/>
      <c r="HA90" s="23"/>
      <c r="HB90" s="23">
        <f>T90</f>
        <v>20</v>
      </c>
      <c r="HC90" s="23"/>
      <c r="HD90" s="23"/>
      <c r="HE90" s="23"/>
      <c r="HF90" s="23">
        <f>T90</f>
        <v>20</v>
      </c>
      <c r="HG90" s="23"/>
      <c r="HH90" s="23"/>
      <c r="HI90" s="23"/>
      <c r="HJ90" s="23"/>
      <c r="HK90" s="23"/>
      <c r="HL90" s="23">
        <f>T90</f>
        <v>20</v>
      </c>
      <c r="HM90" s="23"/>
      <c r="HN90" s="23">
        <f>T90</f>
        <v>20</v>
      </c>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x14ac:dyDescent="0.2">
      <c r="A91" s="65"/>
      <c r="B91" s="112" t="s">
        <v>357</v>
      </c>
      <c r="C91" s="112" t="s">
        <v>362</v>
      </c>
      <c r="D91" s="64"/>
      <c r="E91" s="64"/>
      <c r="F91" s="64"/>
      <c r="G91" s="64"/>
      <c r="H91" s="64"/>
      <c r="I91" s="64"/>
      <c r="J91" s="64"/>
      <c r="K91" s="66"/>
    </row>
    <row r="92" spans="1:255" x14ac:dyDescent="0.2">
      <c r="A92" s="101" t="s">
        <v>66</v>
      </c>
      <c r="B92" s="110" t="s">
        <v>67</v>
      </c>
      <c r="C92" s="102" t="s">
        <v>68</v>
      </c>
      <c r="D92" s="103" t="s">
        <v>44</v>
      </c>
      <c r="E92" s="104">
        <f>Source!I44</f>
        <v>1.5625990000000001</v>
      </c>
      <c r="F92" s="105">
        <v>4319.75</v>
      </c>
      <c r="G92" s="106"/>
      <c r="H92" s="105">
        <f>Source!AC43</f>
        <v>4319.75</v>
      </c>
      <c r="I92" s="107">
        <f>T92</f>
        <v>6750</v>
      </c>
      <c r="J92" s="108" t="s">
        <v>356</v>
      </c>
      <c r="K92" s="109">
        <f>U92</f>
        <v>25404</v>
      </c>
      <c r="L92" s="23"/>
      <c r="M92" s="23"/>
      <c r="N92" s="23"/>
      <c r="O92" s="23"/>
      <c r="P92" s="23"/>
      <c r="Q92" s="23"/>
      <c r="R92" s="23"/>
      <c r="S92" s="23"/>
      <c r="T92" s="23">
        <f>ROUND(Source!AC43*Source!AW43*Source!I43,0)</f>
        <v>6750</v>
      </c>
      <c r="U92" s="23">
        <f>Source!P44</f>
        <v>25404</v>
      </c>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v>1</v>
      </c>
      <c r="CW92" s="23"/>
      <c r="CX92" s="23"/>
      <c r="CY92" s="23"/>
      <c r="CZ92" s="23"/>
      <c r="DA92" s="23"/>
      <c r="DB92" s="23"/>
      <c r="DC92" s="23"/>
      <c r="DD92" s="23"/>
      <c r="DE92" s="23"/>
      <c r="DF92" s="23"/>
      <c r="DG92" s="23"/>
      <c r="DH92" s="23"/>
      <c r="DI92" s="23"/>
      <c r="DJ92" s="23"/>
      <c r="DK92" s="23">
        <f>T92</f>
        <v>6750</v>
      </c>
      <c r="DL92" s="23"/>
      <c r="DM92" s="23">
        <f>Source!P44</f>
        <v>25404</v>
      </c>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f>T92</f>
        <v>6750</v>
      </c>
      <c r="GK92" s="23"/>
      <c r="GL92" s="23"/>
      <c r="GM92" s="23"/>
      <c r="GN92" s="23">
        <f>T92</f>
        <v>6750</v>
      </c>
      <c r="GO92" s="23"/>
      <c r="GP92" s="23">
        <f>T92</f>
        <v>6750</v>
      </c>
      <c r="GQ92" s="23">
        <f>T92</f>
        <v>6750</v>
      </c>
      <c r="GR92" s="23"/>
      <c r="GS92" s="23">
        <f>T92</f>
        <v>6750</v>
      </c>
      <c r="GT92" s="23"/>
      <c r="GU92" s="23"/>
      <c r="GV92" s="23"/>
      <c r="GW92" s="23"/>
      <c r="GX92" s="23"/>
      <c r="GY92" s="23"/>
      <c r="GZ92" s="23"/>
      <c r="HA92" s="23"/>
      <c r="HB92" s="23">
        <f>T92</f>
        <v>6750</v>
      </c>
      <c r="HC92" s="23"/>
      <c r="HD92" s="23"/>
      <c r="HE92" s="23"/>
      <c r="HF92" s="23">
        <f>T92</f>
        <v>6750</v>
      </c>
      <c r="HG92" s="23"/>
      <c r="HH92" s="23"/>
      <c r="HI92" s="23"/>
      <c r="HJ92" s="23"/>
      <c r="HK92" s="23"/>
      <c r="HL92" s="23">
        <f>T92</f>
        <v>6750</v>
      </c>
      <c r="HM92" s="23"/>
      <c r="HN92" s="23">
        <f>T92</f>
        <v>6750</v>
      </c>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x14ac:dyDescent="0.2">
      <c r="A93" s="65"/>
      <c r="B93" s="112" t="s">
        <v>357</v>
      </c>
      <c r="C93" s="112" t="s">
        <v>363</v>
      </c>
      <c r="D93" s="64"/>
      <c r="E93" s="64"/>
      <c r="F93" s="64"/>
      <c r="G93" s="64"/>
      <c r="H93" s="64"/>
      <c r="I93" s="64"/>
      <c r="J93" s="64"/>
      <c r="K93" s="66"/>
    </row>
    <row r="94" spans="1:255" x14ac:dyDescent="0.2">
      <c r="A94" s="101" t="s">
        <v>71</v>
      </c>
      <c r="B94" s="110" t="s">
        <v>31</v>
      </c>
      <c r="C94" s="102" t="s">
        <v>32</v>
      </c>
      <c r="D94" s="103" t="s">
        <v>33</v>
      </c>
      <c r="E94" s="104">
        <f>Source!I46</f>
        <v>4.4224500000000004</v>
      </c>
      <c r="F94" s="105">
        <v>1.82</v>
      </c>
      <c r="G94" s="106"/>
      <c r="H94" s="105">
        <f>Source!AC45</f>
        <v>1.82</v>
      </c>
      <c r="I94" s="107">
        <f>T94</f>
        <v>8</v>
      </c>
      <c r="J94" s="108" t="s">
        <v>356</v>
      </c>
      <c r="K94" s="109">
        <f>U94</f>
        <v>143</v>
      </c>
      <c r="L94" s="23"/>
      <c r="M94" s="23"/>
      <c r="N94" s="23"/>
      <c r="O94" s="23"/>
      <c r="P94" s="23"/>
      <c r="Q94" s="23"/>
      <c r="R94" s="23"/>
      <c r="S94" s="23"/>
      <c r="T94" s="23">
        <f>ROUND(Source!AC45*Source!AW45*Source!I45,0)</f>
        <v>8</v>
      </c>
      <c r="U94" s="23">
        <f>Source!P46</f>
        <v>143</v>
      </c>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v>1</v>
      </c>
      <c r="CW94" s="23"/>
      <c r="CX94" s="23"/>
      <c r="CY94" s="23"/>
      <c r="CZ94" s="23"/>
      <c r="DA94" s="23"/>
      <c r="DB94" s="23"/>
      <c r="DC94" s="23"/>
      <c r="DD94" s="23"/>
      <c r="DE94" s="23"/>
      <c r="DF94" s="23"/>
      <c r="DG94" s="23"/>
      <c r="DH94" s="23"/>
      <c r="DI94" s="23"/>
      <c r="DJ94" s="23"/>
      <c r="DK94" s="23">
        <f>T94</f>
        <v>8</v>
      </c>
      <c r="DL94" s="23"/>
      <c r="DM94" s="23">
        <f>Source!P46</f>
        <v>143</v>
      </c>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f>T94</f>
        <v>8</v>
      </c>
      <c r="GK94" s="23"/>
      <c r="GL94" s="23"/>
      <c r="GM94" s="23"/>
      <c r="GN94" s="23">
        <f>T94</f>
        <v>8</v>
      </c>
      <c r="GO94" s="23"/>
      <c r="GP94" s="23">
        <f>T94</f>
        <v>8</v>
      </c>
      <c r="GQ94" s="23">
        <f>T94</f>
        <v>8</v>
      </c>
      <c r="GR94" s="23"/>
      <c r="GS94" s="23">
        <f>T94</f>
        <v>8</v>
      </c>
      <c r="GT94" s="23"/>
      <c r="GU94" s="23"/>
      <c r="GV94" s="23"/>
      <c r="GW94" s="23"/>
      <c r="GX94" s="23"/>
      <c r="GY94" s="23"/>
      <c r="GZ94" s="23"/>
      <c r="HA94" s="23"/>
      <c r="HB94" s="23">
        <f>T94</f>
        <v>8</v>
      </c>
      <c r="HC94" s="23"/>
      <c r="HD94" s="23"/>
      <c r="HE94" s="23"/>
      <c r="HF94" s="23">
        <f>T94</f>
        <v>8</v>
      </c>
      <c r="HG94" s="23"/>
      <c r="HH94" s="23"/>
      <c r="HI94" s="23"/>
      <c r="HJ94" s="23"/>
      <c r="HK94" s="23"/>
      <c r="HL94" s="23">
        <f>T94</f>
        <v>8</v>
      </c>
      <c r="HM94" s="23"/>
      <c r="HN94" s="23">
        <f>T94</f>
        <v>8</v>
      </c>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x14ac:dyDescent="0.2">
      <c r="A95" s="65"/>
      <c r="B95" s="112" t="s">
        <v>357</v>
      </c>
      <c r="C95" s="112" t="s">
        <v>358</v>
      </c>
      <c r="D95" s="64"/>
      <c r="E95" s="64"/>
      <c r="F95" s="64"/>
      <c r="G95" s="64"/>
      <c r="H95" s="64"/>
      <c r="I95" s="64"/>
      <c r="J95" s="64"/>
      <c r="K95" s="66"/>
    </row>
    <row r="96" spans="1:255" x14ac:dyDescent="0.2">
      <c r="A96" s="115" t="s">
        <v>72</v>
      </c>
      <c r="B96" s="116" t="s">
        <v>73</v>
      </c>
      <c r="C96" s="117" t="s">
        <v>74</v>
      </c>
      <c r="D96" s="118" t="s">
        <v>75</v>
      </c>
      <c r="E96" s="119">
        <f>Source!I48</f>
        <v>0.72528199999999998</v>
      </c>
      <c r="F96" s="120">
        <v>7.14</v>
      </c>
      <c r="G96" s="72"/>
      <c r="H96" s="120">
        <f>Source!AC47</f>
        <v>7.14</v>
      </c>
      <c r="I96" s="121">
        <f>T96</f>
        <v>5</v>
      </c>
      <c r="J96" s="74" t="s">
        <v>356</v>
      </c>
      <c r="K96" s="122">
        <f>U96</f>
        <v>11</v>
      </c>
      <c r="L96" s="23"/>
      <c r="M96" s="23"/>
      <c r="N96" s="23"/>
      <c r="O96" s="23"/>
      <c r="P96" s="23"/>
      <c r="Q96" s="23"/>
      <c r="R96" s="23"/>
      <c r="S96" s="23"/>
      <c r="T96" s="23">
        <f>ROUND(Source!AC47*Source!AW47*Source!I47,0)</f>
        <v>5</v>
      </c>
      <c r="U96" s="23">
        <f>Source!P48</f>
        <v>11</v>
      </c>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v>1</v>
      </c>
      <c r="CW96" s="23"/>
      <c r="CX96" s="23"/>
      <c r="CY96" s="23"/>
      <c r="CZ96" s="23"/>
      <c r="DA96" s="23"/>
      <c r="DB96" s="23"/>
      <c r="DC96" s="23"/>
      <c r="DD96" s="23"/>
      <c r="DE96" s="23"/>
      <c r="DF96" s="23"/>
      <c r="DG96" s="23"/>
      <c r="DH96" s="23"/>
      <c r="DI96" s="23"/>
      <c r="DJ96" s="23"/>
      <c r="DK96" s="23">
        <f>T96</f>
        <v>5</v>
      </c>
      <c r="DL96" s="23"/>
      <c r="DM96" s="23">
        <f>Source!P48</f>
        <v>11</v>
      </c>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f>T96</f>
        <v>5</v>
      </c>
      <c r="GK96" s="23"/>
      <c r="GL96" s="23"/>
      <c r="GM96" s="23"/>
      <c r="GN96" s="23">
        <f>T96</f>
        <v>5</v>
      </c>
      <c r="GO96" s="23"/>
      <c r="GP96" s="23">
        <f>T96</f>
        <v>5</v>
      </c>
      <c r="GQ96" s="23">
        <f>T96</f>
        <v>5</v>
      </c>
      <c r="GR96" s="23"/>
      <c r="GS96" s="23">
        <f>T96</f>
        <v>5</v>
      </c>
      <c r="GT96" s="23"/>
      <c r="GU96" s="23"/>
      <c r="GV96" s="23"/>
      <c r="GW96" s="23"/>
      <c r="GX96" s="23"/>
      <c r="GY96" s="23"/>
      <c r="GZ96" s="23"/>
      <c r="HA96" s="23"/>
      <c r="HB96" s="23">
        <f>T96</f>
        <v>5</v>
      </c>
      <c r="HC96" s="23"/>
      <c r="HD96" s="23"/>
      <c r="HE96" s="23"/>
      <c r="HF96" s="23">
        <f>T96</f>
        <v>5</v>
      </c>
      <c r="HG96" s="23"/>
      <c r="HH96" s="23"/>
      <c r="HI96" s="23"/>
      <c r="HJ96" s="23"/>
      <c r="HK96" s="23"/>
      <c r="HL96" s="23">
        <f>T96</f>
        <v>5</v>
      </c>
      <c r="HM96" s="23"/>
      <c r="HN96" s="23">
        <f>T96</f>
        <v>5</v>
      </c>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x14ac:dyDescent="0.2">
      <c r="A97" s="99"/>
      <c r="B97" s="114" t="s">
        <v>357</v>
      </c>
      <c r="C97" s="114" t="s">
        <v>364</v>
      </c>
      <c r="D97" s="33"/>
      <c r="E97" s="33"/>
      <c r="F97" s="33"/>
      <c r="G97" s="33"/>
      <c r="H97" s="33"/>
      <c r="I97" s="33"/>
      <c r="J97" s="33"/>
      <c r="K97" s="100"/>
    </row>
    <row r="98" spans="1:255" ht="13.5" thickBot="1" x14ac:dyDescent="0.25">
      <c r="A98" s="125"/>
      <c r="B98" s="126"/>
      <c r="C98" s="126" t="s">
        <v>360</v>
      </c>
      <c r="D98" s="126"/>
      <c r="E98" s="126"/>
      <c r="F98" s="126"/>
      <c r="G98" s="126"/>
      <c r="H98" s="309">
        <f>SUM(DK83:DK97)</f>
        <v>6783</v>
      </c>
      <c r="I98" s="310"/>
      <c r="J98" s="309">
        <f>SUM(DM83:DM97)</f>
        <v>25651</v>
      </c>
      <c r="K98" s="311"/>
      <c r="L98" s="113"/>
      <c r="M98" s="113"/>
      <c r="N98" s="11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x14ac:dyDescent="0.2">
      <c r="A99" s="124"/>
      <c r="B99" s="123"/>
      <c r="C99" s="123" t="s">
        <v>361</v>
      </c>
      <c r="D99" s="123"/>
      <c r="E99" s="123"/>
      <c r="F99" s="123"/>
      <c r="G99" s="123"/>
      <c r="H99" s="312">
        <f>R99</f>
        <v>16755</v>
      </c>
      <c r="I99" s="313"/>
      <c r="J99" s="312" t="e">
        <f>S99</f>
        <v>#REF!</v>
      </c>
      <c r="K99" s="314"/>
      <c r="O99" s="23"/>
      <c r="P99" s="23"/>
      <c r="Q99" s="23"/>
      <c r="R99" s="23">
        <f>SUM(T83:T98)</f>
        <v>16755</v>
      </c>
      <c r="S99" s="23" t="e">
        <f>SUM(U83:U98)</f>
        <v>#REF!</v>
      </c>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f>R99</f>
        <v>16755</v>
      </c>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x14ac:dyDescent="0.2">
      <c r="A100" s="78"/>
      <c r="B100" s="77"/>
      <c r="C100" s="77"/>
      <c r="D100" s="77"/>
      <c r="E100" s="77"/>
      <c r="F100" s="77"/>
      <c r="G100" s="77"/>
      <c r="H100" s="306"/>
      <c r="I100" s="307"/>
      <c r="J100" s="306"/>
      <c r="K100" s="308"/>
    </row>
    <row r="101" spans="1:255" ht="24" x14ac:dyDescent="0.2">
      <c r="A101" s="127">
        <v>4</v>
      </c>
      <c r="B101" s="134" t="s">
        <v>79</v>
      </c>
      <c r="C101" s="128" t="s">
        <v>80</v>
      </c>
      <c r="D101" s="129" t="s">
        <v>50</v>
      </c>
      <c r="E101" s="130">
        <v>29.483000000000001</v>
      </c>
      <c r="F101" s="131">
        <f>Source!AK50</f>
        <v>325.90999999999997</v>
      </c>
      <c r="G101" s="135" t="s">
        <v>6</v>
      </c>
      <c r="H101" s="131"/>
      <c r="I101" s="132">
        <f>SUM(DQ101:DQ116)</f>
        <v>11182</v>
      </c>
      <c r="J101" s="108" t="s">
        <v>79</v>
      </c>
      <c r="K101" s="133" t="e">
        <f>SUM(DS101:DS116)</f>
        <v>#REF!</v>
      </c>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x14ac:dyDescent="0.2">
      <c r="A102" s="67"/>
      <c r="B102" s="68"/>
      <c r="C102" s="68" t="s">
        <v>348</v>
      </c>
      <c r="D102" s="69"/>
      <c r="E102" s="70"/>
      <c r="F102" s="71">
        <v>142.54</v>
      </c>
      <c r="G102" s="72"/>
      <c r="H102" s="71">
        <f>Source!AF50</f>
        <v>142.54</v>
      </c>
      <c r="I102" s="73">
        <f>T102</f>
        <v>4203</v>
      </c>
      <c r="J102" s="74">
        <v>34.6</v>
      </c>
      <c r="K102" s="75">
        <f>U102</f>
        <v>145407</v>
      </c>
      <c r="O102" s="23"/>
      <c r="P102" s="23"/>
      <c r="Q102" s="23"/>
      <c r="R102" s="23"/>
      <c r="S102" s="23"/>
      <c r="T102" s="23">
        <f>ROUND(Source!AF50*Source!AV50*Source!I50,0)</f>
        <v>4203</v>
      </c>
      <c r="U102" s="23">
        <f>Source!S50</f>
        <v>145407</v>
      </c>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v>1</v>
      </c>
      <c r="CW102" s="23"/>
      <c r="CX102" s="23"/>
      <c r="CY102" s="23"/>
      <c r="CZ102" s="23"/>
      <c r="DA102" s="23"/>
      <c r="DB102" s="23"/>
      <c r="DC102" s="23"/>
      <c r="DD102" s="23"/>
      <c r="DE102" s="23"/>
      <c r="DF102" s="23"/>
      <c r="DG102" s="23">
        <f>Source!S50</f>
        <v>145407</v>
      </c>
      <c r="DH102" s="23">
        <v>1009</v>
      </c>
      <c r="DI102" s="23"/>
      <c r="DJ102" s="23"/>
      <c r="DK102" s="23"/>
      <c r="DL102" s="23"/>
      <c r="DM102" s="23"/>
      <c r="DN102" s="23"/>
      <c r="DO102" s="23"/>
      <c r="DP102" s="23"/>
      <c r="DQ102" s="23">
        <f>T102</f>
        <v>4203</v>
      </c>
      <c r="DR102" s="23"/>
      <c r="DS102" s="23">
        <f>U102</f>
        <v>145407</v>
      </c>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f>T102</f>
        <v>4203</v>
      </c>
      <c r="GK102" s="23">
        <f>T102</f>
        <v>4203</v>
      </c>
      <c r="GL102" s="23"/>
      <c r="GM102" s="23"/>
      <c r="GN102" s="23"/>
      <c r="GO102" s="23"/>
      <c r="GP102" s="23"/>
      <c r="GQ102" s="23"/>
      <c r="GR102" s="23"/>
      <c r="GS102" s="23"/>
      <c r="GT102" s="23"/>
      <c r="GU102" s="23"/>
      <c r="GV102" s="23"/>
      <c r="GW102" s="23"/>
      <c r="GX102" s="23"/>
      <c r="GY102" s="23"/>
      <c r="GZ102" s="23"/>
      <c r="HA102" s="23"/>
      <c r="HB102" s="23">
        <f>T102</f>
        <v>4203</v>
      </c>
      <c r="HC102" s="23"/>
      <c r="HD102" s="23"/>
      <c r="HE102" s="23"/>
      <c r="HF102" s="23">
        <f>T102</f>
        <v>4203</v>
      </c>
      <c r="HG102" s="23"/>
      <c r="HH102" s="23"/>
      <c r="HI102" s="23"/>
      <c r="HJ102" s="23"/>
      <c r="HK102" s="23"/>
      <c r="HL102" s="23">
        <f>T102</f>
        <v>4203</v>
      </c>
      <c r="HM102" s="23"/>
      <c r="HN102" s="23">
        <f>T102</f>
        <v>4203</v>
      </c>
      <c r="HO102" s="23"/>
      <c r="HP102" s="23"/>
      <c r="HQ102" s="23"/>
      <c r="HR102" s="23"/>
      <c r="HS102" s="23"/>
      <c r="HT102" s="23"/>
      <c r="HU102" s="23"/>
      <c r="HV102" s="23"/>
      <c r="HW102" s="23"/>
      <c r="HX102" s="23">
        <f>T102</f>
        <v>4203</v>
      </c>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x14ac:dyDescent="0.2">
      <c r="A103" s="79"/>
      <c r="B103" s="80"/>
      <c r="C103" s="80" t="s">
        <v>349</v>
      </c>
      <c r="D103" s="81"/>
      <c r="E103" s="82"/>
      <c r="F103" s="83">
        <v>8.16</v>
      </c>
      <c r="G103" s="84"/>
      <c r="H103" s="83">
        <f>Source!AD50</f>
        <v>8.16</v>
      </c>
      <c r="I103" s="85">
        <f>T103</f>
        <v>241</v>
      </c>
      <c r="J103" s="86">
        <v>12.77</v>
      </c>
      <c r="K103" s="87">
        <f>U103</f>
        <v>3072</v>
      </c>
      <c r="O103" s="23"/>
      <c r="P103" s="23"/>
      <c r="Q103" s="23"/>
      <c r="R103" s="23"/>
      <c r="S103" s="23"/>
      <c r="T103" s="23">
        <f>ROUND(Source!AD50*Source!AV50*Source!I50,0)</f>
        <v>241</v>
      </c>
      <c r="U103" s="23">
        <f>Source!Q50</f>
        <v>3072</v>
      </c>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v>1</v>
      </c>
      <c r="CW103" s="23"/>
      <c r="CX103" s="23"/>
      <c r="CY103" s="23"/>
      <c r="CZ103" s="23"/>
      <c r="DA103" s="23"/>
      <c r="DB103" s="23"/>
      <c r="DC103" s="23"/>
      <c r="DD103" s="23"/>
      <c r="DE103" s="23"/>
      <c r="DF103" s="23"/>
      <c r="DG103" s="23"/>
      <c r="DH103" s="23"/>
      <c r="DI103" s="23"/>
      <c r="DJ103" s="23"/>
      <c r="DK103" s="23"/>
      <c r="DL103" s="23"/>
      <c r="DM103" s="23"/>
      <c r="DN103" s="23"/>
      <c r="DO103" s="23"/>
      <c r="DP103" s="23"/>
      <c r="DQ103" s="23">
        <f>T103</f>
        <v>241</v>
      </c>
      <c r="DR103" s="23"/>
      <c r="DS103" s="23">
        <f>U103</f>
        <v>3072</v>
      </c>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f>T103</f>
        <v>241</v>
      </c>
      <c r="GK103" s="23"/>
      <c r="GL103" s="23">
        <f>T103</f>
        <v>241</v>
      </c>
      <c r="GM103" s="23"/>
      <c r="GN103" s="23"/>
      <c r="GO103" s="23"/>
      <c r="GP103" s="23"/>
      <c r="GQ103" s="23"/>
      <c r="GR103" s="23"/>
      <c r="GS103" s="23"/>
      <c r="GT103" s="23"/>
      <c r="GU103" s="23"/>
      <c r="GV103" s="23"/>
      <c r="GW103" s="23"/>
      <c r="GX103" s="23"/>
      <c r="GY103" s="23"/>
      <c r="GZ103" s="23"/>
      <c r="HA103" s="23"/>
      <c r="HB103" s="23">
        <f>T103</f>
        <v>241</v>
      </c>
      <c r="HC103" s="23"/>
      <c r="HD103" s="23"/>
      <c r="HE103" s="23"/>
      <c r="HF103" s="23">
        <f>T103</f>
        <v>241</v>
      </c>
      <c r="HG103" s="23"/>
      <c r="HH103" s="23"/>
      <c r="HI103" s="23"/>
      <c r="HJ103" s="23"/>
      <c r="HK103" s="23"/>
      <c r="HL103" s="23">
        <f>T103</f>
        <v>241</v>
      </c>
      <c r="HM103" s="23"/>
      <c r="HN103" s="23">
        <f>T103</f>
        <v>241</v>
      </c>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x14ac:dyDescent="0.2">
      <c r="A104" s="79"/>
      <c r="B104" s="80"/>
      <c r="C104" s="80" t="s">
        <v>350</v>
      </c>
      <c r="D104" s="81"/>
      <c r="E104" s="82"/>
      <c r="F104" s="83">
        <v>0.26</v>
      </c>
      <c r="G104" s="84"/>
      <c r="H104" s="83">
        <f>Source!AE50</f>
        <v>0.26</v>
      </c>
      <c r="I104" s="85">
        <f>GM104</f>
        <v>8</v>
      </c>
      <c r="J104" s="86">
        <v>30.1</v>
      </c>
      <c r="K104" s="87">
        <f>Source!R50</f>
        <v>231</v>
      </c>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f>ROUND(Source!AE50*Source!AV50*Source!I50,0)</f>
        <v>8</v>
      </c>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f>GM104</f>
        <v>8</v>
      </c>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x14ac:dyDescent="0.2">
      <c r="A105" s="88"/>
      <c r="B105" s="89"/>
      <c r="C105" s="89" t="s">
        <v>351</v>
      </c>
      <c r="D105" s="90"/>
      <c r="E105" s="91">
        <v>105</v>
      </c>
      <c r="F105" s="92" t="s">
        <v>352</v>
      </c>
      <c r="G105" s="93"/>
      <c r="H105" s="94">
        <f>ROUND((Source!AF50*Source!AV50+Source!AE50*Source!AV50)*(Source!FX50)/100,2)</f>
        <v>149.94</v>
      </c>
      <c r="I105" s="95">
        <f>T105</f>
        <v>4422</v>
      </c>
      <c r="J105" s="97">
        <v>1.05</v>
      </c>
      <c r="K105" s="96" t="e">
        <f>U105</f>
        <v>#REF!</v>
      </c>
      <c r="O105" s="23"/>
      <c r="P105" s="23"/>
      <c r="Q105" s="23"/>
      <c r="R105" s="23"/>
      <c r="S105" s="23"/>
      <c r="T105" s="23">
        <f>ROUND((ROUND(Source!AF50*Source!AV50*Source!I50,0)+ROUND(Source!AE50*Source!AV50*Source!I50,0))*(Source!DN50)/100,0)</f>
        <v>4422</v>
      </c>
      <c r="U105" s="23" t="e">
        <f>Source!X50</f>
        <v>#REF!</v>
      </c>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v>1</v>
      </c>
      <c r="CW105" s="23"/>
      <c r="CX105" s="23"/>
      <c r="CY105" s="23"/>
      <c r="CZ105" s="23"/>
      <c r="DA105" s="23"/>
      <c r="DB105" s="23"/>
      <c r="DC105" s="23"/>
      <c r="DD105" s="23"/>
      <c r="DE105" s="23"/>
      <c r="DF105" s="23"/>
      <c r="DG105" s="23"/>
      <c r="DH105" s="23"/>
      <c r="DI105" s="23"/>
      <c r="DJ105" s="23"/>
      <c r="DK105" s="23"/>
      <c r="DL105" s="23"/>
      <c r="DM105" s="23"/>
      <c r="DN105" s="23"/>
      <c r="DO105" s="23"/>
      <c r="DP105" s="23"/>
      <c r="DQ105" s="23">
        <f>T105</f>
        <v>4422</v>
      </c>
      <c r="DR105" s="23"/>
      <c r="DS105" s="23" t="e">
        <f>U105</f>
        <v>#REF!</v>
      </c>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f>T105</f>
        <v>4422</v>
      </c>
      <c r="GZ105" s="23"/>
      <c r="HA105" s="23"/>
      <c r="HB105" s="23">
        <f>T105</f>
        <v>4422</v>
      </c>
      <c r="HC105" s="23"/>
      <c r="HD105" s="23"/>
      <c r="HE105" s="23"/>
      <c r="HF105" s="23">
        <f>T105</f>
        <v>4422</v>
      </c>
      <c r="HG105" s="23"/>
      <c r="HH105" s="23"/>
      <c r="HI105" s="23"/>
      <c r="HJ105" s="23"/>
      <c r="HK105" s="23"/>
      <c r="HL105" s="23">
        <f>T105</f>
        <v>4422</v>
      </c>
      <c r="HM105" s="23"/>
      <c r="HN105" s="23">
        <f>T105</f>
        <v>4422</v>
      </c>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x14ac:dyDescent="0.2">
      <c r="A106" s="88"/>
      <c r="B106" s="89"/>
      <c r="C106" s="89" t="s">
        <v>353</v>
      </c>
      <c r="D106" s="90"/>
      <c r="E106" s="91">
        <v>55</v>
      </c>
      <c r="F106" s="92" t="s">
        <v>352</v>
      </c>
      <c r="G106" s="93"/>
      <c r="H106" s="94">
        <f>ROUND((Source!AF50*Source!AV50+Source!AE50*Source!AV50)*(Source!FY50)/100,2)</f>
        <v>78.540000000000006</v>
      </c>
      <c r="I106" s="95">
        <f>T106</f>
        <v>2316</v>
      </c>
      <c r="J106" s="97">
        <v>0.55000000000000004</v>
      </c>
      <c r="K106" s="96" t="e">
        <f>U106</f>
        <v>#REF!</v>
      </c>
      <c r="O106" s="23"/>
      <c r="P106" s="23"/>
      <c r="Q106" s="23"/>
      <c r="R106" s="23"/>
      <c r="S106" s="23"/>
      <c r="T106" s="23">
        <f>ROUND((ROUND(Source!AF50*Source!AV50*Source!I50,0)+ROUND(Source!AE50*Source!AV50*Source!I50,0))*(Source!DO50)/100,0)</f>
        <v>2316</v>
      </c>
      <c r="U106" s="23" t="e">
        <f>Source!Y50</f>
        <v>#REF!</v>
      </c>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v>1</v>
      </c>
      <c r="CW106" s="23"/>
      <c r="CX106" s="23"/>
      <c r="CY106" s="23"/>
      <c r="CZ106" s="23"/>
      <c r="DA106" s="23"/>
      <c r="DB106" s="23"/>
      <c r="DC106" s="23"/>
      <c r="DD106" s="23"/>
      <c r="DE106" s="23"/>
      <c r="DF106" s="23"/>
      <c r="DG106" s="23"/>
      <c r="DH106" s="23"/>
      <c r="DI106" s="23"/>
      <c r="DJ106" s="23"/>
      <c r="DK106" s="23"/>
      <c r="DL106" s="23"/>
      <c r="DM106" s="23"/>
      <c r="DN106" s="23"/>
      <c r="DO106" s="23"/>
      <c r="DP106" s="23"/>
      <c r="DQ106" s="23">
        <f>T106</f>
        <v>2316</v>
      </c>
      <c r="DR106" s="23"/>
      <c r="DS106" s="23" t="e">
        <f>U106</f>
        <v>#REF!</v>
      </c>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f>T106</f>
        <v>2316</v>
      </c>
      <c r="HA106" s="23"/>
      <c r="HB106" s="23">
        <f>T106</f>
        <v>2316</v>
      </c>
      <c r="HC106" s="23"/>
      <c r="HD106" s="23"/>
      <c r="HE106" s="23"/>
      <c r="HF106" s="23">
        <f>T106</f>
        <v>2316</v>
      </c>
      <c r="HG106" s="23"/>
      <c r="HH106" s="23"/>
      <c r="HI106" s="23"/>
      <c r="HJ106" s="23"/>
      <c r="HK106" s="23"/>
      <c r="HL106" s="23">
        <f>T106</f>
        <v>2316</v>
      </c>
      <c r="HM106" s="23"/>
      <c r="HN106" s="23">
        <f>T106</f>
        <v>2316</v>
      </c>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x14ac:dyDescent="0.2">
      <c r="A107" s="79"/>
      <c r="B107" s="80"/>
      <c r="C107" s="80" t="s">
        <v>354</v>
      </c>
      <c r="D107" s="81" t="s">
        <v>355</v>
      </c>
      <c r="E107" s="82">
        <v>14.68</v>
      </c>
      <c r="F107" s="83"/>
      <c r="G107" s="84"/>
      <c r="H107" s="83" t="e">
        <f>ROUND(Source!AH50,2)</f>
        <v>#REF!</v>
      </c>
      <c r="I107" s="98" t="e">
        <f>Source!U50</f>
        <v>#REF!</v>
      </c>
      <c r="J107" s="86"/>
      <c r="K107" s="87"/>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ht="24" x14ac:dyDescent="0.2">
      <c r="A108" s="101" t="s">
        <v>82</v>
      </c>
      <c r="B108" s="110" t="s">
        <v>61</v>
      </c>
      <c r="C108" s="102" t="s">
        <v>62</v>
      </c>
      <c r="D108" s="103" t="s">
        <v>63</v>
      </c>
      <c r="E108" s="104">
        <f>Source!I52</f>
        <v>0.353796</v>
      </c>
      <c r="F108" s="105">
        <v>57.14</v>
      </c>
      <c r="G108" s="106"/>
      <c r="H108" s="105">
        <f>Source!AC51</f>
        <v>57.14</v>
      </c>
      <c r="I108" s="107">
        <f>T108</f>
        <v>20</v>
      </c>
      <c r="J108" s="108" t="s">
        <v>356</v>
      </c>
      <c r="K108" s="109">
        <f>U108</f>
        <v>93</v>
      </c>
      <c r="L108" s="23"/>
      <c r="M108" s="23"/>
      <c r="N108" s="23"/>
      <c r="O108" s="23"/>
      <c r="P108" s="23"/>
      <c r="Q108" s="23"/>
      <c r="R108" s="23"/>
      <c r="S108" s="23"/>
      <c r="T108" s="23">
        <f>ROUND(Source!AC51*Source!AW51*Source!I51,0)</f>
        <v>20</v>
      </c>
      <c r="U108" s="23">
        <f>Source!P52</f>
        <v>93</v>
      </c>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v>1</v>
      </c>
      <c r="CW108" s="23"/>
      <c r="CX108" s="23"/>
      <c r="CY108" s="23"/>
      <c r="CZ108" s="23"/>
      <c r="DA108" s="23"/>
      <c r="DB108" s="23"/>
      <c r="DC108" s="23"/>
      <c r="DD108" s="23"/>
      <c r="DE108" s="23"/>
      <c r="DF108" s="23"/>
      <c r="DG108" s="23"/>
      <c r="DH108" s="23"/>
      <c r="DI108" s="23"/>
      <c r="DJ108" s="23"/>
      <c r="DK108" s="23">
        <f>T108</f>
        <v>20</v>
      </c>
      <c r="DL108" s="23"/>
      <c r="DM108" s="23">
        <f>Source!P52</f>
        <v>93</v>
      </c>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f>T108</f>
        <v>20</v>
      </c>
      <c r="GK108" s="23"/>
      <c r="GL108" s="23"/>
      <c r="GM108" s="23"/>
      <c r="GN108" s="23">
        <f>T108</f>
        <v>20</v>
      </c>
      <c r="GO108" s="23"/>
      <c r="GP108" s="23">
        <f>T108</f>
        <v>20</v>
      </c>
      <c r="GQ108" s="23">
        <f>T108</f>
        <v>20</v>
      </c>
      <c r="GR108" s="23"/>
      <c r="GS108" s="23">
        <f>T108</f>
        <v>20</v>
      </c>
      <c r="GT108" s="23"/>
      <c r="GU108" s="23"/>
      <c r="GV108" s="23"/>
      <c r="GW108" s="23"/>
      <c r="GX108" s="23"/>
      <c r="GY108" s="23"/>
      <c r="GZ108" s="23"/>
      <c r="HA108" s="23"/>
      <c r="HB108" s="23">
        <f>T108</f>
        <v>20</v>
      </c>
      <c r="HC108" s="23"/>
      <c r="HD108" s="23"/>
      <c r="HE108" s="23"/>
      <c r="HF108" s="23">
        <f>T108</f>
        <v>20</v>
      </c>
      <c r="HG108" s="23"/>
      <c r="HH108" s="23"/>
      <c r="HI108" s="23"/>
      <c r="HJ108" s="23"/>
      <c r="HK108" s="23"/>
      <c r="HL108" s="23">
        <f>T108</f>
        <v>20</v>
      </c>
      <c r="HM108" s="23"/>
      <c r="HN108" s="23">
        <f>T108</f>
        <v>20</v>
      </c>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x14ac:dyDescent="0.2">
      <c r="A109" s="65"/>
      <c r="B109" s="112" t="s">
        <v>357</v>
      </c>
      <c r="C109" s="112" t="s">
        <v>362</v>
      </c>
      <c r="D109" s="64"/>
      <c r="E109" s="64"/>
      <c r="F109" s="64"/>
      <c r="G109" s="64"/>
      <c r="H109" s="64"/>
      <c r="I109" s="64"/>
      <c r="J109" s="64"/>
      <c r="K109" s="66"/>
    </row>
    <row r="110" spans="1:255" x14ac:dyDescent="0.2">
      <c r="A110" s="101" t="s">
        <v>83</v>
      </c>
      <c r="B110" s="110" t="s">
        <v>84</v>
      </c>
      <c r="C110" s="102" t="s">
        <v>85</v>
      </c>
      <c r="D110" s="103" t="s">
        <v>44</v>
      </c>
      <c r="E110" s="104">
        <f>Source!I54</f>
        <v>1.1881649999999999</v>
      </c>
      <c r="F110" s="105">
        <v>4319.75</v>
      </c>
      <c r="G110" s="106"/>
      <c r="H110" s="105">
        <f>Source!AC53</f>
        <v>4319.75</v>
      </c>
      <c r="I110" s="107">
        <f>T110</f>
        <v>5133</v>
      </c>
      <c r="J110" s="108" t="s">
        <v>356</v>
      </c>
      <c r="K110" s="109">
        <f>U110</f>
        <v>21130</v>
      </c>
      <c r="L110" s="23"/>
      <c r="M110" s="23"/>
      <c r="N110" s="23"/>
      <c r="O110" s="23"/>
      <c r="P110" s="23"/>
      <c r="Q110" s="23"/>
      <c r="R110" s="23"/>
      <c r="S110" s="23"/>
      <c r="T110" s="23">
        <f>ROUND(Source!AC53*Source!AW53*Source!I53,0)</f>
        <v>5133</v>
      </c>
      <c r="U110" s="23">
        <f>Source!P54</f>
        <v>21130</v>
      </c>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v>1</v>
      </c>
      <c r="CW110" s="23"/>
      <c r="CX110" s="23"/>
      <c r="CY110" s="23"/>
      <c r="CZ110" s="23"/>
      <c r="DA110" s="23"/>
      <c r="DB110" s="23"/>
      <c r="DC110" s="23"/>
      <c r="DD110" s="23"/>
      <c r="DE110" s="23"/>
      <c r="DF110" s="23"/>
      <c r="DG110" s="23"/>
      <c r="DH110" s="23"/>
      <c r="DI110" s="23"/>
      <c r="DJ110" s="23"/>
      <c r="DK110" s="23">
        <f>T110</f>
        <v>5133</v>
      </c>
      <c r="DL110" s="23"/>
      <c r="DM110" s="23">
        <f>Source!P54</f>
        <v>21130</v>
      </c>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f>T110</f>
        <v>5133</v>
      </c>
      <c r="GK110" s="23"/>
      <c r="GL110" s="23"/>
      <c r="GM110" s="23"/>
      <c r="GN110" s="23">
        <f>T110</f>
        <v>5133</v>
      </c>
      <c r="GO110" s="23"/>
      <c r="GP110" s="23">
        <f>T110</f>
        <v>5133</v>
      </c>
      <c r="GQ110" s="23">
        <f>T110</f>
        <v>5133</v>
      </c>
      <c r="GR110" s="23"/>
      <c r="GS110" s="23">
        <f>T110</f>
        <v>5133</v>
      </c>
      <c r="GT110" s="23"/>
      <c r="GU110" s="23"/>
      <c r="GV110" s="23"/>
      <c r="GW110" s="23"/>
      <c r="GX110" s="23"/>
      <c r="GY110" s="23"/>
      <c r="GZ110" s="23"/>
      <c r="HA110" s="23"/>
      <c r="HB110" s="23">
        <f>T110</f>
        <v>5133</v>
      </c>
      <c r="HC110" s="23"/>
      <c r="HD110" s="23"/>
      <c r="HE110" s="23"/>
      <c r="HF110" s="23">
        <f>T110</f>
        <v>5133</v>
      </c>
      <c r="HG110" s="23"/>
      <c r="HH110" s="23"/>
      <c r="HI110" s="23"/>
      <c r="HJ110" s="23"/>
      <c r="HK110" s="23"/>
      <c r="HL110" s="23">
        <f>T110</f>
        <v>5133</v>
      </c>
      <c r="HM110" s="23"/>
      <c r="HN110" s="23">
        <f>T110</f>
        <v>5133</v>
      </c>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x14ac:dyDescent="0.2">
      <c r="A111" s="65"/>
      <c r="B111" s="112" t="s">
        <v>357</v>
      </c>
      <c r="C111" s="112" t="s">
        <v>365</v>
      </c>
      <c r="D111" s="64"/>
      <c r="E111" s="64"/>
      <c r="F111" s="64"/>
      <c r="G111" s="64"/>
      <c r="H111" s="64"/>
      <c r="I111" s="64"/>
      <c r="J111" s="64"/>
      <c r="K111" s="66"/>
    </row>
    <row r="112" spans="1:255" x14ac:dyDescent="0.2">
      <c r="A112" s="101" t="s">
        <v>88</v>
      </c>
      <c r="B112" s="110" t="s">
        <v>31</v>
      </c>
      <c r="C112" s="102" t="s">
        <v>32</v>
      </c>
      <c r="D112" s="103" t="s">
        <v>33</v>
      </c>
      <c r="E112" s="104">
        <f>Source!I56</f>
        <v>2.9483000000000001</v>
      </c>
      <c r="F112" s="105">
        <v>1.82</v>
      </c>
      <c r="G112" s="106"/>
      <c r="H112" s="105">
        <f>Source!AC55</f>
        <v>1.82</v>
      </c>
      <c r="I112" s="107">
        <f>T112</f>
        <v>5</v>
      </c>
      <c r="J112" s="108" t="s">
        <v>356</v>
      </c>
      <c r="K112" s="109">
        <f>U112</f>
        <v>95</v>
      </c>
      <c r="L112" s="23"/>
      <c r="M112" s="23"/>
      <c r="N112" s="23"/>
      <c r="O112" s="23"/>
      <c r="P112" s="23"/>
      <c r="Q112" s="23"/>
      <c r="R112" s="23"/>
      <c r="S112" s="23"/>
      <c r="T112" s="23">
        <f>ROUND(Source!AC55*Source!AW55*Source!I55,0)</f>
        <v>5</v>
      </c>
      <c r="U112" s="23">
        <f>Source!P56</f>
        <v>95</v>
      </c>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v>1</v>
      </c>
      <c r="CW112" s="23"/>
      <c r="CX112" s="23"/>
      <c r="CY112" s="23"/>
      <c r="CZ112" s="23"/>
      <c r="DA112" s="23"/>
      <c r="DB112" s="23"/>
      <c r="DC112" s="23"/>
      <c r="DD112" s="23"/>
      <c r="DE112" s="23"/>
      <c r="DF112" s="23"/>
      <c r="DG112" s="23"/>
      <c r="DH112" s="23"/>
      <c r="DI112" s="23"/>
      <c r="DJ112" s="23"/>
      <c r="DK112" s="23">
        <f>T112</f>
        <v>5</v>
      </c>
      <c r="DL112" s="23"/>
      <c r="DM112" s="23">
        <f>Source!P56</f>
        <v>95</v>
      </c>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f>T112</f>
        <v>5</v>
      </c>
      <c r="GK112" s="23"/>
      <c r="GL112" s="23"/>
      <c r="GM112" s="23"/>
      <c r="GN112" s="23">
        <f>T112</f>
        <v>5</v>
      </c>
      <c r="GO112" s="23"/>
      <c r="GP112" s="23">
        <f>T112</f>
        <v>5</v>
      </c>
      <c r="GQ112" s="23">
        <f>T112</f>
        <v>5</v>
      </c>
      <c r="GR112" s="23"/>
      <c r="GS112" s="23">
        <f>T112</f>
        <v>5</v>
      </c>
      <c r="GT112" s="23"/>
      <c r="GU112" s="23"/>
      <c r="GV112" s="23"/>
      <c r="GW112" s="23"/>
      <c r="GX112" s="23"/>
      <c r="GY112" s="23"/>
      <c r="GZ112" s="23"/>
      <c r="HA112" s="23"/>
      <c r="HB112" s="23">
        <f>T112</f>
        <v>5</v>
      </c>
      <c r="HC112" s="23"/>
      <c r="HD112" s="23"/>
      <c r="HE112" s="23"/>
      <c r="HF112" s="23">
        <f>T112</f>
        <v>5</v>
      </c>
      <c r="HG112" s="23"/>
      <c r="HH112" s="23"/>
      <c r="HI112" s="23"/>
      <c r="HJ112" s="23"/>
      <c r="HK112" s="23"/>
      <c r="HL112" s="23">
        <f>T112</f>
        <v>5</v>
      </c>
      <c r="HM112" s="23"/>
      <c r="HN112" s="23">
        <f>T112</f>
        <v>5</v>
      </c>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x14ac:dyDescent="0.2">
      <c r="A113" s="65"/>
      <c r="B113" s="112" t="s">
        <v>357</v>
      </c>
      <c r="C113" s="112" t="s">
        <v>358</v>
      </c>
      <c r="D113" s="64"/>
      <c r="E113" s="64"/>
      <c r="F113" s="64"/>
      <c r="G113" s="64"/>
      <c r="H113" s="64"/>
      <c r="I113" s="64"/>
      <c r="J113" s="64"/>
      <c r="K113" s="66"/>
    </row>
    <row r="114" spans="1:255" x14ac:dyDescent="0.2">
      <c r="A114" s="115" t="s">
        <v>89</v>
      </c>
      <c r="B114" s="116" t="s">
        <v>73</v>
      </c>
      <c r="C114" s="117" t="s">
        <v>74</v>
      </c>
      <c r="D114" s="118" t="s">
        <v>75</v>
      </c>
      <c r="E114" s="119">
        <f>Source!I58</f>
        <v>0.50415900000000002</v>
      </c>
      <c r="F114" s="120">
        <v>7.14</v>
      </c>
      <c r="G114" s="72"/>
      <c r="H114" s="120">
        <f>Source!AC57</f>
        <v>7.14</v>
      </c>
      <c r="I114" s="121">
        <f>T114</f>
        <v>4</v>
      </c>
      <c r="J114" s="74" t="s">
        <v>356</v>
      </c>
      <c r="K114" s="122">
        <f>U114</f>
        <v>8</v>
      </c>
      <c r="L114" s="23"/>
      <c r="M114" s="23"/>
      <c r="N114" s="23"/>
      <c r="O114" s="23"/>
      <c r="P114" s="23"/>
      <c r="Q114" s="23"/>
      <c r="R114" s="23"/>
      <c r="S114" s="23"/>
      <c r="T114" s="23">
        <f>ROUND(Source!AC57*Source!AW57*Source!I57,0)</f>
        <v>4</v>
      </c>
      <c r="U114" s="23">
        <f>Source!P58</f>
        <v>8</v>
      </c>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v>1</v>
      </c>
      <c r="CW114" s="23"/>
      <c r="CX114" s="23"/>
      <c r="CY114" s="23"/>
      <c r="CZ114" s="23"/>
      <c r="DA114" s="23"/>
      <c r="DB114" s="23"/>
      <c r="DC114" s="23"/>
      <c r="DD114" s="23"/>
      <c r="DE114" s="23"/>
      <c r="DF114" s="23"/>
      <c r="DG114" s="23"/>
      <c r="DH114" s="23"/>
      <c r="DI114" s="23"/>
      <c r="DJ114" s="23"/>
      <c r="DK114" s="23">
        <f>T114</f>
        <v>4</v>
      </c>
      <c r="DL114" s="23"/>
      <c r="DM114" s="23">
        <f>Source!P58</f>
        <v>8</v>
      </c>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f>T114</f>
        <v>4</v>
      </c>
      <c r="GK114" s="23"/>
      <c r="GL114" s="23"/>
      <c r="GM114" s="23"/>
      <c r="GN114" s="23">
        <f>T114</f>
        <v>4</v>
      </c>
      <c r="GO114" s="23"/>
      <c r="GP114" s="23">
        <f>T114</f>
        <v>4</v>
      </c>
      <c r="GQ114" s="23">
        <f>T114</f>
        <v>4</v>
      </c>
      <c r="GR114" s="23"/>
      <c r="GS114" s="23">
        <f>T114</f>
        <v>4</v>
      </c>
      <c r="GT114" s="23"/>
      <c r="GU114" s="23"/>
      <c r="GV114" s="23"/>
      <c r="GW114" s="23"/>
      <c r="GX114" s="23"/>
      <c r="GY114" s="23"/>
      <c r="GZ114" s="23"/>
      <c r="HA114" s="23"/>
      <c r="HB114" s="23">
        <f>T114</f>
        <v>4</v>
      </c>
      <c r="HC114" s="23"/>
      <c r="HD114" s="23"/>
      <c r="HE114" s="23"/>
      <c r="HF114" s="23">
        <f>T114</f>
        <v>4</v>
      </c>
      <c r="HG114" s="23"/>
      <c r="HH114" s="23"/>
      <c r="HI114" s="23"/>
      <c r="HJ114" s="23"/>
      <c r="HK114" s="23"/>
      <c r="HL114" s="23">
        <f>T114</f>
        <v>4</v>
      </c>
      <c r="HM114" s="23"/>
      <c r="HN114" s="23">
        <f>T114</f>
        <v>4</v>
      </c>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x14ac:dyDescent="0.2">
      <c r="A115" s="99"/>
      <c r="B115" s="114" t="s">
        <v>357</v>
      </c>
      <c r="C115" s="114" t="s">
        <v>364</v>
      </c>
      <c r="D115" s="33"/>
      <c r="E115" s="33"/>
      <c r="F115" s="33"/>
      <c r="G115" s="33"/>
      <c r="H115" s="33"/>
      <c r="I115" s="33"/>
      <c r="J115" s="33"/>
      <c r="K115" s="100"/>
    </row>
    <row r="116" spans="1:255" ht="13.5" thickBot="1" x14ac:dyDescent="0.25">
      <c r="A116" s="125"/>
      <c r="B116" s="126"/>
      <c r="C116" s="126" t="s">
        <v>360</v>
      </c>
      <c r="D116" s="126"/>
      <c r="E116" s="126"/>
      <c r="F116" s="126"/>
      <c r="G116" s="126"/>
      <c r="H116" s="309">
        <f>SUM(DK101:DK115)</f>
        <v>5162</v>
      </c>
      <c r="I116" s="310"/>
      <c r="J116" s="309">
        <f>SUM(DM101:DM115)</f>
        <v>21326</v>
      </c>
      <c r="K116" s="311"/>
      <c r="L116" s="113"/>
      <c r="M116" s="113"/>
      <c r="N116" s="11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x14ac:dyDescent="0.2">
      <c r="A117" s="124"/>
      <c r="B117" s="123"/>
      <c r="C117" s="123" t="s">
        <v>361</v>
      </c>
      <c r="D117" s="123"/>
      <c r="E117" s="123"/>
      <c r="F117" s="123"/>
      <c r="G117" s="123"/>
      <c r="H117" s="312">
        <f>R117</f>
        <v>16344</v>
      </c>
      <c r="I117" s="313"/>
      <c r="J117" s="312" t="e">
        <f>S117</f>
        <v>#REF!</v>
      </c>
      <c r="K117" s="314"/>
      <c r="O117" s="23"/>
      <c r="P117" s="23"/>
      <c r="Q117" s="23"/>
      <c r="R117" s="23">
        <f>SUM(T101:T116)</f>
        <v>16344</v>
      </c>
      <c r="S117" s="23" t="e">
        <f>SUM(U101:U116)</f>
        <v>#REF!</v>
      </c>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f>R117</f>
        <v>16344</v>
      </c>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x14ac:dyDescent="0.2">
      <c r="A118" s="78"/>
      <c r="B118" s="77"/>
      <c r="C118" s="77"/>
      <c r="D118" s="77"/>
      <c r="E118" s="77"/>
      <c r="F118" s="77"/>
      <c r="G118" s="77"/>
      <c r="H118" s="306"/>
      <c r="I118" s="307"/>
      <c r="J118" s="306"/>
      <c r="K118" s="308"/>
    </row>
    <row r="119" spans="1:255" ht="24" x14ac:dyDescent="0.2">
      <c r="A119" s="127">
        <v>5</v>
      </c>
      <c r="B119" s="134" t="s">
        <v>48</v>
      </c>
      <c r="C119" s="128" t="s">
        <v>91</v>
      </c>
      <c r="D119" s="129" t="s">
        <v>50</v>
      </c>
      <c r="E119" s="130">
        <v>20.509</v>
      </c>
      <c r="F119" s="131">
        <f>Source!AK60</f>
        <v>11.84</v>
      </c>
      <c r="G119" s="135" t="s">
        <v>6</v>
      </c>
      <c r="H119" s="131"/>
      <c r="I119" s="132">
        <f>SUM(DQ119:DQ130)</f>
        <v>591</v>
      </c>
      <c r="J119" s="108" t="s">
        <v>48</v>
      </c>
      <c r="K119" s="133" t="e">
        <f>SUM(DS119:DS130)</f>
        <v>#REF!</v>
      </c>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x14ac:dyDescent="0.2">
      <c r="A120" s="67"/>
      <c r="B120" s="68"/>
      <c r="C120" s="68" t="s">
        <v>348</v>
      </c>
      <c r="D120" s="69"/>
      <c r="E120" s="70"/>
      <c r="F120" s="71">
        <v>10.67</v>
      </c>
      <c r="G120" s="72"/>
      <c r="H120" s="71">
        <f>Source!AF60</f>
        <v>10.67</v>
      </c>
      <c r="I120" s="73">
        <f>T120</f>
        <v>219</v>
      </c>
      <c r="J120" s="74">
        <v>38.19</v>
      </c>
      <c r="K120" s="75">
        <f>U120</f>
        <v>8357</v>
      </c>
      <c r="O120" s="23"/>
      <c r="P120" s="23"/>
      <c r="Q120" s="23"/>
      <c r="R120" s="23"/>
      <c r="S120" s="23"/>
      <c r="T120" s="23">
        <f>ROUND(Source!AF60*Source!AV60*Source!I60,0)</f>
        <v>219</v>
      </c>
      <c r="U120" s="23">
        <f>Source!S60</f>
        <v>8357</v>
      </c>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v>1</v>
      </c>
      <c r="CW120" s="23"/>
      <c r="CX120" s="23"/>
      <c r="CY120" s="23"/>
      <c r="CZ120" s="23"/>
      <c r="DA120" s="23"/>
      <c r="DB120" s="23"/>
      <c r="DC120" s="23"/>
      <c r="DD120" s="23"/>
      <c r="DE120" s="23"/>
      <c r="DF120" s="23"/>
      <c r="DG120" s="23">
        <f>Source!S60</f>
        <v>8357</v>
      </c>
      <c r="DH120" s="23">
        <v>1004</v>
      </c>
      <c r="DI120" s="23"/>
      <c r="DJ120" s="23"/>
      <c r="DK120" s="23"/>
      <c r="DL120" s="23"/>
      <c r="DM120" s="23"/>
      <c r="DN120" s="23"/>
      <c r="DO120" s="23"/>
      <c r="DP120" s="23"/>
      <c r="DQ120" s="23">
        <f>T120</f>
        <v>219</v>
      </c>
      <c r="DR120" s="23"/>
      <c r="DS120" s="23">
        <f>U120</f>
        <v>8357</v>
      </c>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f>T120</f>
        <v>219</v>
      </c>
      <c r="GK120" s="23">
        <f>T120</f>
        <v>219</v>
      </c>
      <c r="GL120" s="23"/>
      <c r="GM120" s="23"/>
      <c r="GN120" s="23"/>
      <c r="GO120" s="23"/>
      <c r="GP120" s="23"/>
      <c r="GQ120" s="23"/>
      <c r="GR120" s="23"/>
      <c r="GS120" s="23"/>
      <c r="GT120" s="23"/>
      <c r="GU120" s="23"/>
      <c r="GV120" s="23"/>
      <c r="GW120" s="23"/>
      <c r="GX120" s="23"/>
      <c r="GY120" s="23"/>
      <c r="GZ120" s="23"/>
      <c r="HA120" s="23"/>
      <c r="HB120" s="23">
        <f>T120</f>
        <v>219</v>
      </c>
      <c r="HC120" s="23"/>
      <c r="HD120" s="23"/>
      <c r="HE120" s="23"/>
      <c r="HF120" s="23">
        <f>T120</f>
        <v>219</v>
      </c>
      <c r="HG120" s="23"/>
      <c r="HH120" s="23"/>
      <c r="HI120" s="23"/>
      <c r="HJ120" s="23"/>
      <c r="HK120" s="23"/>
      <c r="HL120" s="23">
        <f>T120</f>
        <v>219</v>
      </c>
      <c r="HM120" s="23"/>
      <c r="HN120" s="23">
        <f>T120</f>
        <v>219</v>
      </c>
      <c r="HO120" s="23"/>
      <c r="HP120" s="23"/>
      <c r="HQ120" s="23"/>
      <c r="HR120" s="23"/>
      <c r="HS120" s="23"/>
      <c r="HT120" s="23"/>
      <c r="HU120" s="23"/>
      <c r="HV120" s="23"/>
      <c r="HW120" s="23"/>
      <c r="HX120" s="23">
        <f>T120</f>
        <v>219</v>
      </c>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x14ac:dyDescent="0.2">
      <c r="A121" s="79"/>
      <c r="B121" s="80"/>
      <c r="C121" s="80" t="s">
        <v>349</v>
      </c>
      <c r="D121" s="81"/>
      <c r="E121" s="82"/>
      <c r="F121" s="83">
        <v>0.99</v>
      </c>
      <c r="G121" s="84"/>
      <c r="H121" s="83">
        <f>Source!AD60</f>
        <v>0.99</v>
      </c>
      <c r="I121" s="85">
        <f>T121</f>
        <v>20</v>
      </c>
      <c r="J121" s="86">
        <v>12.77</v>
      </c>
      <c r="K121" s="87">
        <f>U121</f>
        <v>259</v>
      </c>
      <c r="O121" s="23"/>
      <c r="P121" s="23"/>
      <c r="Q121" s="23"/>
      <c r="R121" s="23"/>
      <c r="S121" s="23"/>
      <c r="T121" s="23">
        <f>ROUND(Source!AD60*Source!AV60*Source!I60,0)</f>
        <v>20</v>
      </c>
      <c r="U121" s="23">
        <f>Source!Q60</f>
        <v>259</v>
      </c>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v>1</v>
      </c>
      <c r="CW121" s="23"/>
      <c r="CX121" s="23"/>
      <c r="CY121" s="23"/>
      <c r="CZ121" s="23"/>
      <c r="DA121" s="23"/>
      <c r="DB121" s="23"/>
      <c r="DC121" s="23"/>
      <c r="DD121" s="23"/>
      <c r="DE121" s="23"/>
      <c r="DF121" s="23"/>
      <c r="DG121" s="23"/>
      <c r="DH121" s="23"/>
      <c r="DI121" s="23"/>
      <c r="DJ121" s="23"/>
      <c r="DK121" s="23"/>
      <c r="DL121" s="23"/>
      <c r="DM121" s="23"/>
      <c r="DN121" s="23"/>
      <c r="DO121" s="23"/>
      <c r="DP121" s="23"/>
      <c r="DQ121" s="23">
        <f>T121</f>
        <v>20</v>
      </c>
      <c r="DR121" s="23"/>
      <c r="DS121" s="23">
        <f>U121</f>
        <v>259</v>
      </c>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f>T121</f>
        <v>20</v>
      </c>
      <c r="GK121" s="23"/>
      <c r="GL121" s="23">
        <f>T121</f>
        <v>20</v>
      </c>
      <c r="GM121" s="23"/>
      <c r="GN121" s="23"/>
      <c r="GO121" s="23"/>
      <c r="GP121" s="23"/>
      <c r="GQ121" s="23"/>
      <c r="GR121" s="23"/>
      <c r="GS121" s="23"/>
      <c r="GT121" s="23"/>
      <c r="GU121" s="23"/>
      <c r="GV121" s="23"/>
      <c r="GW121" s="23"/>
      <c r="GX121" s="23"/>
      <c r="GY121" s="23"/>
      <c r="GZ121" s="23"/>
      <c r="HA121" s="23"/>
      <c r="HB121" s="23">
        <f>T121</f>
        <v>20</v>
      </c>
      <c r="HC121" s="23"/>
      <c r="HD121" s="23"/>
      <c r="HE121" s="23"/>
      <c r="HF121" s="23">
        <f>T121</f>
        <v>20</v>
      </c>
      <c r="HG121" s="23"/>
      <c r="HH121" s="23"/>
      <c r="HI121" s="23"/>
      <c r="HJ121" s="23"/>
      <c r="HK121" s="23"/>
      <c r="HL121" s="23">
        <f>T121</f>
        <v>20</v>
      </c>
      <c r="HM121" s="23"/>
      <c r="HN121" s="23">
        <f>T121</f>
        <v>20</v>
      </c>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x14ac:dyDescent="0.2">
      <c r="A122" s="79"/>
      <c r="B122" s="80"/>
      <c r="C122" s="80" t="s">
        <v>350</v>
      </c>
      <c r="D122" s="81"/>
      <c r="E122" s="82"/>
      <c r="F122" s="83">
        <v>0.03</v>
      </c>
      <c r="G122" s="84"/>
      <c r="H122" s="83">
        <f>Source!AE60</f>
        <v>0.03</v>
      </c>
      <c r="I122" s="85">
        <f>GM122</f>
        <v>1</v>
      </c>
      <c r="J122" s="86">
        <v>30.1</v>
      </c>
      <c r="K122" s="87">
        <f>Source!R60</f>
        <v>19</v>
      </c>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f>ROUND(Source!AE60*Source!AV60*Source!I60,0)</f>
        <v>1</v>
      </c>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f>GM122</f>
        <v>1</v>
      </c>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x14ac:dyDescent="0.2">
      <c r="A123" s="88"/>
      <c r="B123" s="89"/>
      <c r="C123" s="89" t="s">
        <v>351</v>
      </c>
      <c r="D123" s="90"/>
      <c r="E123" s="91">
        <v>105</v>
      </c>
      <c r="F123" s="92" t="s">
        <v>352</v>
      </c>
      <c r="G123" s="93"/>
      <c r="H123" s="94">
        <f>ROUND((Source!AF60*Source!AV60+Source!AE60*Source!AV60)*(Source!FX60)/100,2)</f>
        <v>11.24</v>
      </c>
      <c r="I123" s="95">
        <f>T123</f>
        <v>231</v>
      </c>
      <c r="J123" s="97">
        <v>1.05</v>
      </c>
      <c r="K123" s="96" t="e">
        <f>U123</f>
        <v>#REF!</v>
      </c>
      <c r="O123" s="23"/>
      <c r="P123" s="23"/>
      <c r="Q123" s="23"/>
      <c r="R123" s="23"/>
      <c r="S123" s="23"/>
      <c r="T123" s="23">
        <f>ROUND((ROUND(Source!AF60*Source!AV60*Source!I60,0)+ROUND(Source!AE60*Source!AV60*Source!I60,0))*(Source!DN60)/100,0)</f>
        <v>231</v>
      </c>
      <c r="U123" s="23" t="e">
        <f>Source!X60</f>
        <v>#REF!</v>
      </c>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v>1</v>
      </c>
      <c r="CW123" s="23"/>
      <c r="CX123" s="23"/>
      <c r="CY123" s="23"/>
      <c r="CZ123" s="23"/>
      <c r="DA123" s="23"/>
      <c r="DB123" s="23"/>
      <c r="DC123" s="23"/>
      <c r="DD123" s="23"/>
      <c r="DE123" s="23"/>
      <c r="DF123" s="23"/>
      <c r="DG123" s="23"/>
      <c r="DH123" s="23"/>
      <c r="DI123" s="23"/>
      <c r="DJ123" s="23"/>
      <c r="DK123" s="23"/>
      <c r="DL123" s="23"/>
      <c r="DM123" s="23"/>
      <c r="DN123" s="23"/>
      <c r="DO123" s="23"/>
      <c r="DP123" s="23"/>
      <c r="DQ123" s="23">
        <f>T123</f>
        <v>231</v>
      </c>
      <c r="DR123" s="23"/>
      <c r="DS123" s="23" t="e">
        <f>U123</f>
        <v>#REF!</v>
      </c>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f>T123</f>
        <v>231</v>
      </c>
      <c r="GZ123" s="23"/>
      <c r="HA123" s="23"/>
      <c r="HB123" s="23">
        <f>T123</f>
        <v>231</v>
      </c>
      <c r="HC123" s="23"/>
      <c r="HD123" s="23"/>
      <c r="HE123" s="23"/>
      <c r="HF123" s="23">
        <f>T123</f>
        <v>231</v>
      </c>
      <c r="HG123" s="23"/>
      <c r="HH123" s="23"/>
      <c r="HI123" s="23"/>
      <c r="HJ123" s="23"/>
      <c r="HK123" s="23"/>
      <c r="HL123" s="23">
        <f>T123</f>
        <v>231</v>
      </c>
      <c r="HM123" s="23"/>
      <c r="HN123" s="23">
        <f>T123</f>
        <v>231</v>
      </c>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x14ac:dyDescent="0.2">
      <c r="A124" s="88"/>
      <c r="B124" s="89"/>
      <c r="C124" s="89" t="s">
        <v>353</v>
      </c>
      <c r="D124" s="90"/>
      <c r="E124" s="91">
        <v>55</v>
      </c>
      <c r="F124" s="92" t="s">
        <v>352</v>
      </c>
      <c r="G124" s="93"/>
      <c r="H124" s="94">
        <f>ROUND((Source!AF60*Source!AV60+Source!AE60*Source!AV60)*(Source!FY60)/100,2)</f>
        <v>5.89</v>
      </c>
      <c r="I124" s="95">
        <f>T124</f>
        <v>121</v>
      </c>
      <c r="J124" s="97">
        <v>0.55000000000000004</v>
      </c>
      <c r="K124" s="96" t="e">
        <f>U124</f>
        <v>#REF!</v>
      </c>
      <c r="O124" s="23"/>
      <c r="P124" s="23"/>
      <c r="Q124" s="23"/>
      <c r="R124" s="23"/>
      <c r="S124" s="23"/>
      <c r="T124" s="23">
        <f>ROUND((ROUND(Source!AF60*Source!AV60*Source!I60,0)+ROUND(Source!AE60*Source!AV60*Source!I60,0))*(Source!DO60)/100,0)</f>
        <v>121</v>
      </c>
      <c r="U124" s="23" t="e">
        <f>Source!Y60</f>
        <v>#REF!</v>
      </c>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v>1</v>
      </c>
      <c r="CW124" s="23"/>
      <c r="CX124" s="23"/>
      <c r="CY124" s="23"/>
      <c r="CZ124" s="23"/>
      <c r="DA124" s="23"/>
      <c r="DB124" s="23"/>
      <c r="DC124" s="23"/>
      <c r="DD124" s="23"/>
      <c r="DE124" s="23"/>
      <c r="DF124" s="23"/>
      <c r="DG124" s="23"/>
      <c r="DH124" s="23"/>
      <c r="DI124" s="23"/>
      <c r="DJ124" s="23"/>
      <c r="DK124" s="23"/>
      <c r="DL124" s="23"/>
      <c r="DM124" s="23"/>
      <c r="DN124" s="23"/>
      <c r="DO124" s="23"/>
      <c r="DP124" s="23"/>
      <c r="DQ124" s="23">
        <f>T124</f>
        <v>121</v>
      </c>
      <c r="DR124" s="23"/>
      <c r="DS124" s="23" t="e">
        <f>U124</f>
        <v>#REF!</v>
      </c>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f>T124</f>
        <v>121</v>
      </c>
      <c r="HA124" s="23"/>
      <c r="HB124" s="23">
        <f>T124</f>
        <v>121</v>
      </c>
      <c r="HC124" s="23"/>
      <c r="HD124" s="23"/>
      <c r="HE124" s="23"/>
      <c r="HF124" s="23">
        <f>T124</f>
        <v>121</v>
      </c>
      <c r="HG124" s="23"/>
      <c r="HH124" s="23"/>
      <c r="HI124" s="23"/>
      <c r="HJ124" s="23"/>
      <c r="HK124" s="23"/>
      <c r="HL124" s="23">
        <f>T124</f>
        <v>121</v>
      </c>
      <c r="HM124" s="23"/>
      <c r="HN124" s="23">
        <f>T124</f>
        <v>121</v>
      </c>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x14ac:dyDescent="0.2">
      <c r="A125" s="79"/>
      <c r="B125" s="80"/>
      <c r="C125" s="80" t="s">
        <v>354</v>
      </c>
      <c r="D125" s="81" t="s">
        <v>355</v>
      </c>
      <c r="E125" s="82">
        <v>1.1000000000000001</v>
      </c>
      <c r="F125" s="83"/>
      <c r="G125" s="84"/>
      <c r="H125" s="83" t="e">
        <f>ROUND(Source!AH60,2)</f>
        <v>#REF!</v>
      </c>
      <c r="I125" s="98" t="e">
        <f>Source!U60</f>
        <v>#REF!</v>
      </c>
      <c r="J125" s="86"/>
      <c r="K125" s="87"/>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x14ac:dyDescent="0.2">
      <c r="A126" s="101" t="s">
        <v>92</v>
      </c>
      <c r="B126" s="110" t="s">
        <v>31</v>
      </c>
      <c r="C126" s="102" t="s">
        <v>32</v>
      </c>
      <c r="D126" s="103" t="s">
        <v>33</v>
      </c>
      <c r="E126" s="104">
        <f>Source!I62</f>
        <v>2.0508999999999999</v>
      </c>
      <c r="F126" s="105">
        <v>1.82</v>
      </c>
      <c r="G126" s="106"/>
      <c r="H126" s="105">
        <f>Source!AC61</f>
        <v>1.82</v>
      </c>
      <c r="I126" s="107">
        <f>T126</f>
        <v>4</v>
      </c>
      <c r="J126" s="108" t="s">
        <v>356</v>
      </c>
      <c r="K126" s="109">
        <f>U126</f>
        <v>66</v>
      </c>
      <c r="L126" s="23"/>
      <c r="M126" s="23"/>
      <c r="N126" s="23"/>
      <c r="O126" s="23"/>
      <c r="P126" s="23"/>
      <c r="Q126" s="23"/>
      <c r="R126" s="23"/>
      <c r="S126" s="23"/>
      <c r="T126" s="23">
        <f>ROUND(Source!AC61*Source!AW61*Source!I61,0)</f>
        <v>4</v>
      </c>
      <c r="U126" s="23">
        <f>Source!P62</f>
        <v>66</v>
      </c>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v>1</v>
      </c>
      <c r="CW126" s="23"/>
      <c r="CX126" s="23"/>
      <c r="CY126" s="23"/>
      <c r="CZ126" s="23"/>
      <c r="DA126" s="23"/>
      <c r="DB126" s="23"/>
      <c r="DC126" s="23"/>
      <c r="DD126" s="23"/>
      <c r="DE126" s="23"/>
      <c r="DF126" s="23"/>
      <c r="DG126" s="23"/>
      <c r="DH126" s="23"/>
      <c r="DI126" s="23"/>
      <c r="DJ126" s="23"/>
      <c r="DK126" s="23">
        <f>T126</f>
        <v>4</v>
      </c>
      <c r="DL126" s="23"/>
      <c r="DM126" s="23">
        <f>Source!P62</f>
        <v>66</v>
      </c>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f>T126</f>
        <v>4</v>
      </c>
      <c r="GK126" s="23"/>
      <c r="GL126" s="23"/>
      <c r="GM126" s="23"/>
      <c r="GN126" s="23">
        <f>T126</f>
        <v>4</v>
      </c>
      <c r="GO126" s="23"/>
      <c r="GP126" s="23">
        <f>T126</f>
        <v>4</v>
      </c>
      <c r="GQ126" s="23">
        <f>T126</f>
        <v>4</v>
      </c>
      <c r="GR126" s="23"/>
      <c r="GS126" s="23">
        <f>T126</f>
        <v>4</v>
      </c>
      <c r="GT126" s="23"/>
      <c r="GU126" s="23"/>
      <c r="GV126" s="23"/>
      <c r="GW126" s="23"/>
      <c r="GX126" s="23"/>
      <c r="GY126" s="23"/>
      <c r="GZ126" s="23"/>
      <c r="HA126" s="23"/>
      <c r="HB126" s="23">
        <f>T126</f>
        <v>4</v>
      </c>
      <c r="HC126" s="23"/>
      <c r="HD126" s="23"/>
      <c r="HE126" s="23"/>
      <c r="HF126" s="23">
        <f>T126</f>
        <v>4</v>
      </c>
      <c r="HG126" s="23"/>
      <c r="HH126" s="23"/>
      <c r="HI126" s="23"/>
      <c r="HJ126" s="23"/>
      <c r="HK126" s="23"/>
      <c r="HL126" s="23">
        <f>T126</f>
        <v>4</v>
      </c>
      <c r="HM126" s="23"/>
      <c r="HN126" s="23">
        <f>T126</f>
        <v>4</v>
      </c>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x14ac:dyDescent="0.2">
      <c r="A127" s="65"/>
      <c r="B127" s="112" t="s">
        <v>357</v>
      </c>
      <c r="C127" s="112" t="s">
        <v>358</v>
      </c>
      <c r="D127" s="64"/>
      <c r="E127" s="64"/>
      <c r="F127" s="64"/>
      <c r="G127" s="64"/>
      <c r="H127" s="64"/>
      <c r="I127" s="64"/>
      <c r="J127" s="64"/>
      <c r="K127" s="66"/>
    </row>
    <row r="128" spans="1:255" ht="24" x14ac:dyDescent="0.2">
      <c r="A128" s="115" t="s">
        <v>93</v>
      </c>
      <c r="B128" s="116" t="s">
        <v>42</v>
      </c>
      <c r="C128" s="117" t="s">
        <v>55</v>
      </c>
      <c r="D128" s="118" t="s">
        <v>44</v>
      </c>
      <c r="E128" s="119">
        <f>Source!I64</f>
        <v>0.27071899999999999</v>
      </c>
      <c r="F128" s="120">
        <v>11293.16</v>
      </c>
      <c r="G128" s="72"/>
      <c r="H128" s="120">
        <f>Source!AC63</f>
        <v>11293.16</v>
      </c>
      <c r="I128" s="121">
        <f>T128</f>
        <v>3057</v>
      </c>
      <c r="J128" s="74" t="s">
        <v>356</v>
      </c>
      <c r="K128" s="122">
        <f>U128</f>
        <v>11415</v>
      </c>
      <c r="L128" s="23"/>
      <c r="M128" s="23"/>
      <c r="N128" s="23"/>
      <c r="O128" s="23"/>
      <c r="P128" s="23"/>
      <c r="Q128" s="23"/>
      <c r="R128" s="23"/>
      <c r="S128" s="23"/>
      <c r="T128" s="23">
        <f>ROUND(Source!AC63*Source!AW63*Source!I63,0)</f>
        <v>3057</v>
      </c>
      <c r="U128" s="23">
        <f>Source!P64</f>
        <v>11415</v>
      </c>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v>1</v>
      </c>
      <c r="CW128" s="23"/>
      <c r="CX128" s="23"/>
      <c r="CY128" s="23"/>
      <c r="CZ128" s="23"/>
      <c r="DA128" s="23"/>
      <c r="DB128" s="23"/>
      <c r="DC128" s="23"/>
      <c r="DD128" s="23"/>
      <c r="DE128" s="23"/>
      <c r="DF128" s="23"/>
      <c r="DG128" s="23"/>
      <c r="DH128" s="23"/>
      <c r="DI128" s="23"/>
      <c r="DJ128" s="23"/>
      <c r="DK128" s="23">
        <f>T128</f>
        <v>3057</v>
      </c>
      <c r="DL128" s="23"/>
      <c r="DM128" s="23">
        <f>Source!P64</f>
        <v>11415</v>
      </c>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f>T128</f>
        <v>3057</v>
      </c>
      <c r="GK128" s="23"/>
      <c r="GL128" s="23"/>
      <c r="GM128" s="23"/>
      <c r="GN128" s="23">
        <f>T128</f>
        <v>3057</v>
      </c>
      <c r="GO128" s="23"/>
      <c r="GP128" s="23">
        <f>T128</f>
        <v>3057</v>
      </c>
      <c r="GQ128" s="23">
        <f>T128</f>
        <v>3057</v>
      </c>
      <c r="GR128" s="23"/>
      <c r="GS128" s="23">
        <f>T128</f>
        <v>3057</v>
      </c>
      <c r="GT128" s="23"/>
      <c r="GU128" s="23"/>
      <c r="GV128" s="23"/>
      <c r="GW128" s="23"/>
      <c r="GX128" s="23"/>
      <c r="GY128" s="23"/>
      <c r="GZ128" s="23"/>
      <c r="HA128" s="23"/>
      <c r="HB128" s="23">
        <f>T128</f>
        <v>3057</v>
      </c>
      <c r="HC128" s="23"/>
      <c r="HD128" s="23"/>
      <c r="HE128" s="23"/>
      <c r="HF128" s="23">
        <f>T128</f>
        <v>3057</v>
      </c>
      <c r="HG128" s="23"/>
      <c r="HH128" s="23"/>
      <c r="HI128" s="23"/>
      <c r="HJ128" s="23"/>
      <c r="HK128" s="23"/>
      <c r="HL128" s="23">
        <f>T128</f>
        <v>3057</v>
      </c>
      <c r="HM128" s="23"/>
      <c r="HN128" s="23">
        <f>T128</f>
        <v>3057</v>
      </c>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x14ac:dyDescent="0.2">
      <c r="A129" s="99"/>
      <c r="B129" s="114" t="s">
        <v>357</v>
      </c>
      <c r="C129" s="114" t="s">
        <v>359</v>
      </c>
      <c r="D129" s="33"/>
      <c r="E129" s="33"/>
      <c r="F129" s="33"/>
      <c r="G129" s="33"/>
      <c r="H129" s="33"/>
      <c r="I129" s="33"/>
      <c r="J129" s="33"/>
      <c r="K129" s="100"/>
    </row>
    <row r="130" spans="1:255" ht="13.5" thickBot="1" x14ac:dyDescent="0.25">
      <c r="A130" s="125"/>
      <c r="B130" s="126"/>
      <c r="C130" s="126" t="s">
        <v>360</v>
      </c>
      <c r="D130" s="126"/>
      <c r="E130" s="126"/>
      <c r="F130" s="126"/>
      <c r="G130" s="126"/>
      <c r="H130" s="309">
        <f>SUM(DK119:DK129)</f>
        <v>3061</v>
      </c>
      <c r="I130" s="310"/>
      <c r="J130" s="309">
        <f>SUM(DM119:DM129)</f>
        <v>11481</v>
      </c>
      <c r="K130" s="311"/>
      <c r="L130" s="113"/>
      <c r="M130" s="113"/>
      <c r="N130" s="11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x14ac:dyDescent="0.2">
      <c r="A131" s="124"/>
      <c r="B131" s="123"/>
      <c r="C131" s="123" t="s">
        <v>361</v>
      </c>
      <c r="D131" s="123"/>
      <c r="E131" s="123"/>
      <c r="F131" s="123"/>
      <c r="G131" s="123"/>
      <c r="H131" s="312">
        <f>R131</f>
        <v>3652</v>
      </c>
      <c r="I131" s="313"/>
      <c r="J131" s="312" t="e">
        <f>S131</f>
        <v>#REF!</v>
      </c>
      <c r="K131" s="314"/>
      <c r="O131" s="23"/>
      <c r="P131" s="23"/>
      <c r="Q131" s="23"/>
      <c r="R131" s="23">
        <f>SUM(T119:T130)</f>
        <v>3652</v>
      </c>
      <c r="S131" s="23" t="e">
        <f>SUM(U119:U130)</f>
        <v>#REF!</v>
      </c>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f>R131</f>
        <v>3652</v>
      </c>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x14ac:dyDescent="0.2">
      <c r="A132" s="78"/>
      <c r="B132" s="77"/>
      <c r="C132" s="77"/>
      <c r="D132" s="77"/>
      <c r="E132" s="77"/>
      <c r="F132" s="77"/>
      <c r="G132" s="77"/>
      <c r="H132" s="306"/>
      <c r="I132" s="307"/>
      <c r="J132" s="306"/>
      <c r="K132" s="308"/>
    </row>
    <row r="133" spans="1:255" ht="24" x14ac:dyDescent="0.2">
      <c r="A133" s="127">
        <v>6</v>
      </c>
      <c r="B133" s="134" t="s">
        <v>79</v>
      </c>
      <c r="C133" s="128" t="s">
        <v>80</v>
      </c>
      <c r="D133" s="129" t="s">
        <v>50</v>
      </c>
      <c r="E133" s="130">
        <v>20.509</v>
      </c>
      <c r="F133" s="131">
        <f>Source!AK66</f>
        <v>325.90999999999997</v>
      </c>
      <c r="G133" s="135" t="s">
        <v>6</v>
      </c>
      <c r="H133" s="131"/>
      <c r="I133" s="132">
        <f>SUM(DQ133:DQ148)</f>
        <v>7774</v>
      </c>
      <c r="J133" s="108" t="s">
        <v>79</v>
      </c>
      <c r="K133" s="133" t="e">
        <f>SUM(DS133:DS148)</f>
        <v>#REF!</v>
      </c>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x14ac:dyDescent="0.2">
      <c r="A134" s="67"/>
      <c r="B134" s="68"/>
      <c r="C134" s="68" t="s">
        <v>348</v>
      </c>
      <c r="D134" s="69"/>
      <c r="E134" s="70"/>
      <c r="F134" s="71">
        <v>142.54</v>
      </c>
      <c r="G134" s="72"/>
      <c r="H134" s="71">
        <f>Source!AF66</f>
        <v>142.54</v>
      </c>
      <c r="I134" s="73">
        <f>T134</f>
        <v>2923</v>
      </c>
      <c r="J134" s="74">
        <v>34.6</v>
      </c>
      <c r="K134" s="75">
        <f>U134</f>
        <v>101148</v>
      </c>
      <c r="O134" s="23"/>
      <c r="P134" s="23"/>
      <c r="Q134" s="23"/>
      <c r="R134" s="23"/>
      <c r="S134" s="23"/>
      <c r="T134" s="23">
        <f>ROUND(Source!AF66*Source!AV66*Source!I66,0)</f>
        <v>2923</v>
      </c>
      <c r="U134" s="23">
        <f>Source!S66</f>
        <v>101148</v>
      </c>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v>1</v>
      </c>
      <c r="CW134" s="23"/>
      <c r="CX134" s="23"/>
      <c r="CY134" s="23"/>
      <c r="CZ134" s="23"/>
      <c r="DA134" s="23"/>
      <c r="DB134" s="23"/>
      <c r="DC134" s="23"/>
      <c r="DD134" s="23"/>
      <c r="DE134" s="23"/>
      <c r="DF134" s="23"/>
      <c r="DG134" s="23">
        <f>Source!S66</f>
        <v>101148</v>
      </c>
      <c r="DH134" s="23">
        <v>1009</v>
      </c>
      <c r="DI134" s="23"/>
      <c r="DJ134" s="23"/>
      <c r="DK134" s="23"/>
      <c r="DL134" s="23"/>
      <c r="DM134" s="23"/>
      <c r="DN134" s="23"/>
      <c r="DO134" s="23"/>
      <c r="DP134" s="23"/>
      <c r="DQ134" s="23">
        <f>T134</f>
        <v>2923</v>
      </c>
      <c r="DR134" s="23"/>
      <c r="DS134" s="23">
        <f>U134</f>
        <v>101148</v>
      </c>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f>T134</f>
        <v>2923</v>
      </c>
      <c r="GK134" s="23">
        <f>T134</f>
        <v>2923</v>
      </c>
      <c r="GL134" s="23"/>
      <c r="GM134" s="23"/>
      <c r="GN134" s="23"/>
      <c r="GO134" s="23"/>
      <c r="GP134" s="23"/>
      <c r="GQ134" s="23"/>
      <c r="GR134" s="23"/>
      <c r="GS134" s="23"/>
      <c r="GT134" s="23"/>
      <c r="GU134" s="23"/>
      <c r="GV134" s="23"/>
      <c r="GW134" s="23"/>
      <c r="GX134" s="23"/>
      <c r="GY134" s="23"/>
      <c r="GZ134" s="23"/>
      <c r="HA134" s="23"/>
      <c r="HB134" s="23">
        <f>T134</f>
        <v>2923</v>
      </c>
      <c r="HC134" s="23"/>
      <c r="HD134" s="23"/>
      <c r="HE134" s="23"/>
      <c r="HF134" s="23">
        <f>T134</f>
        <v>2923</v>
      </c>
      <c r="HG134" s="23"/>
      <c r="HH134" s="23"/>
      <c r="HI134" s="23"/>
      <c r="HJ134" s="23"/>
      <c r="HK134" s="23"/>
      <c r="HL134" s="23">
        <f>T134</f>
        <v>2923</v>
      </c>
      <c r="HM134" s="23"/>
      <c r="HN134" s="23">
        <f>T134</f>
        <v>2923</v>
      </c>
      <c r="HO134" s="23"/>
      <c r="HP134" s="23"/>
      <c r="HQ134" s="23"/>
      <c r="HR134" s="23"/>
      <c r="HS134" s="23"/>
      <c r="HT134" s="23"/>
      <c r="HU134" s="23"/>
      <c r="HV134" s="23"/>
      <c r="HW134" s="23"/>
      <c r="HX134" s="23">
        <f>T134</f>
        <v>2923</v>
      </c>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x14ac:dyDescent="0.2">
      <c r="A135" s="79"/>
      <c r="B135" s="80"/>
      <c r="C135" s="80" t="s">
        <v>349</v>
      </c>
      <c r="D135" s="81"/>
      <c r="E135" s="82"/>
      <c r="F135" s="83">
        <v>8.16</v>
      </c>
      <c r="G135" s="84"/>
      <c r="H135" s="83">
        <f>Source!AD66</f>
        <v>8.16</v>
      </c>
      <c r="I135" s="85">
        <f>T135</f>
        <v>167</v>
      </c>
      <c r="J135" s="86">
        <v>12.77</v>
      </c>
      <c r="K135" s="87">
        <f>U135</f>
        <v>2137</v>
      </c>
      <c r="O135" s="23"/>
      <c r="P135" s="23"/>
      <c r="Q135" s="23"/>
      <c r="R135" s="23"/>
      <c r="S135" s="23"/>
      <c r="T135" s="23">
        <f>ROUND(Source!AD66*Source!AV66*Source!I66,0)</f>
        <v>167</v>
      </c>
      <c r="U135" s="23">
        <f>Source!Q66</f>
        <v>2137</v>
      </c>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v>1</v>
      </c>
      <c r="CW135" s="23"/>
      <c r="CX135" s="23"/>
      <c r="CY135" s="23"/>
      <c r="CZ135" s="23"/>
      <c r="DA135" s="23"/>
      <c r="DB135" s="23"/>
      <c r="DC135" s="23"/>
      <c r="DD135" s="23"/>
      <c r="DE135" s="23"/>
      <c r="DF135" s="23"/>
      <c r="DG135" s="23"/>
      <c r="DH135" s="23"/>
      <c r="DI135" s="23"/>
      <c r="DJ135" s="23"/>
      <c r="DK135" s="23"/>
      <c r="DL135" s="23"/>
      <c r="DM135" s="23"/>
      <c r="DN135" s="23"/>
      <c r="DO135" s="23"/>
      <c r="DP135" s="23"/>
      <c r="DQ135" s="23">
        <f>T135</f>
        <v>167</v>
      </c>
      <c r="DR135" s="23"/>
      <c r="DS135" s="23">
        <f>U135</f>
        <v>2137</v>
      </c>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f>T135</f>
        <v>167</v>
      </c>
      <c r="GK135" s="23"/>
      <c r="GL135" s="23">
        <f>T135</f>
        <v>167</v>
      </c>
      <c r="GM135" s="23"/>
      <c r="GN135" s="23"/>
      <c r="GO135" s="23"/>
      <c r="GP135" s="23"/>
      <c r="GQ135" s="23"/>
      <c r="GR135" s="23"/>
      <c r="GS135" s="23"/>
      <c r="GT135" s="23"/>
      <c r="GU135" s="23"/>
      <c r="GV135" s="23"/>
      <c r="GW135" s="23"/>
      <c r="GX135" s="23"/>
      <c r="GY135" s="23"/>
      <c r="GZ135" s="23"/>
      <c r="HA135" s="23"/>
      <c r="HB135" s="23">
        <f>T135</f>
        <v>167</v>
      </c>
      <c r="HC135" s="23"/>
      <c r="HD135" s="23"/>
      <c r="HE135" s="23"/>
      <c r="HF135" s="23">
        <f>T135</f>
        <v>167</v>
      </c>
      <c r="HG135" s="23"/>
      <c r="HH135" s="23"/>
      <c r="HI135" s="23"/>
      <c r="HJ135" s="23"/>
      <c r="HK135" s="23"/>
      <c r="HL135" s="23">
        <f>T135</f>
        <v>167</v>
      </c>
      <c r="HM135" s="23"/>
      <c r="HN135" s="23">
        <f>T135</f>
        <v>167</v>
      </c>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x14ac:dyDescent="0.2">
      <c r="A136" s="79"/>
      <c r="B136" s="80"/>
      <c r="C136" s="80" t="s">
        <v>350</v>
      </c>
      <c r="D136" s="81"/>
      <c r="E136" s="82"/>
      <c r="F136" s="83">
        <v>0.26</v>
      </c>
      <c r="G136" s="84"/>
      <c r="H136" s="83">
        <f>Source!AE66</f>
        <v>0.26</v>
      </c>
      <c r="I136" s="85">
        <f>GM136</f>
        <v>5</v>
      </c>
      <c r="J136" s="86">
        <v>30.1</v>
      </c>
      <c r="K136" s="87">
        <f>Source!R66</f>
        <v>161</v>
      </c>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f>ROUND(Source!AE66*Source!AV66*Source!I66,0)</f>
        <v>5</v>
      </c>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f>GM136</f>
        <v>5</v>
      </c>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x14ac:dyDescent="0.2">
      <c r="A137" s="88"/>
      <c r="B137" s="89"/>
      <c r="C137" s="89" t="s">
        <v>351</v>
      </c>
      <c r="D137" s="90"/>
      <c r="E137" s="91">
        <v>105</v>
      </c>
      <c r="F137" s="92" t="s">
        <v>352</v>
      </c>
      <c r="G137" s="93"/>
      <c r="H137" s="94">
        <f>ROUND((Source!AF66*Source!AV66+Source!AE66*Source!AV66)*(Source!FX66)/100,2)</f>
        <v>149.94</v>
      </c>
      <c r="I137" s="95">
        <f>T137</f>
        <v>3074</v>
      </c>
      <c r="J137" s="97">
        <v>1.05</v>
      </c>
      <c r="K137" s="96" t="e">
        <f>U137</f>
        <v>#REF!</v>
      </c>
      <c r="O137" s="23"/>
      <c r="P137" s="23"/>
      <c r="Q137" s="23"/>
      <c r="R137" s="23"/>
      <c r="S137" s="23"/>
      <c r="T137" s="23">
        <f>ROUND((ROUND(Source!AF66*Source!AV66*Source!I66,0)+ROUND(Source!AE66*Source!AV66*Source!I66,0))*(Source!DN66)/100,0)</f>
        <v>3074</v>
      </c>
      <c r="U137" s="23" t="e">
        <f>Source!X66</f>
        <v>#REF!</v>
      </c>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v>1</v>
      </c>
      <c r="CW137" s="23"/>
      <c r="CX137" s="23"/>
      <c r="CY137" s="23"/>
      <c r="CZ137" s="23"/>
      <c r="DA137" s="23"/>
      <c r="DB137" s="23"/>
      <c r="DC137" s="23"/>
      <c r="DD137" s="23"/>
      <c r="DE137" s="23"/>
      <c r="DF137" s="23"/>
      <c r="DG137" s="23"/>
      <c r="DH137" s="23"/>
      <c r="DI137" s="23"/>
      <c r="DJ137" s="23"/>
      <c r="DK137" s="23"/>
      <c r="DL137" s="23"/>
      <c r="DM137" s="23"/>
      <c r="DN137" s="23"/>
      <c r="DO137" s="23"/>
      <c r="DP137" s="23"/>
      <c r="DQ137" s="23">
        <f>T137</f>
        <v>3074</v>
      </c>
      <c r="DR137" s="23"/>
      <c r="DS137" s="23" t="e">
        <f>U137</f>
        <v>#REF!</v>
      </c>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f>T137</f>
        <v>3074</v>
      </c>
      <c r="GZ137" s="23"/>
      <c r="HA137" s="23"/>
      <c r="HB137" s="23">
        <f>T137</f>
        <v>3074</v>
      </c>
      <c r="HC137" s="23"/>
      <c r="HD137" s="23"/>
      <c r="HE137" s="23"/>
      <c r="HF137" s="23">
        <f>T137</f>
        <v>3074</v>
      </c>
      <c r="HG137" s="23"/>
      <c r="HH137" s="23"/>
      <c r="HI137" s="23"/>
      <c r="HJ137" s="23"/>
      <c r="HK137" s="23"/>
      <c r="HL137" s="23">
        <f>T137</f>
        <v>3074</v>
      </c>
      <c r="HM137" s="23"/>
      <c r="HN137" s="23">
        <f>T137</f>
        <v>3074</v>
      </c>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x14ac:dyDescent="0.2">
      <c r="A138" s="88"/>
      <c r="B138" s="89"/>
      <c r="C138" s="89" t="s">
        <v>353</v>
      </c>
      <c r="D138" s="90"/>
      <c r="E138" s="91">
        <v>55</v>
      </c>
      <c r="F138" s="92" t="s">
        <v>352</v>
      </c>
      <c r="G138" s="93"/>
      <c r="H138" s="94">
        <f>ROUND((Source!AF66*Source!AV66+Source!AE66*Source!AV66)*(Source!FY66)/100,2)</f>
        <v>78.540000000000006</v>
      </c>
      <c r="I138" s="95">
        <f>T138</f>
        <v>1610</v>
      </c>
      <c r="J138" s="97">
        <v>0.55000000000000004</v>
      </c>
      <c r="K138" s="96" t="e">
        <f>U138</f>
        <v>#REF!</v>
      </c>
      <c r="O138" s="23"/>
      <c r="P138" s="23"/>
      <c r="Q138" s="23"/>
      <c r="R138" s="23"/>
      <c r="S138" s="23"/>
      <c r="T138" s="23">
        <f>ROUND((ROUND(Source!AF66*Source!AV66*Source!I66,0)+ROUND(Source!AE66*Source!AV66*Source!I66,0))*(Source!DO66)/100,0)</f>
        <v>1610</v>
      </c>
      <c r="U138" s="23" t="e">
        <f>Source!Y66</f>
        <v>#REF!</v>
      </c>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v>1</v>
      </c>
      <c r="CW138" s="23"/>
      <c r="CX138" s="23"/>
      <c r="CY138" s="23"/>
      <c r="CZ138" s="23"/>
      <c r="DA138" s="23"/>
      <c r="DB138" s="23"/>
      <c r="DC138" s="23"/>
      <c r="DD138" s="23"/>
      <c r="DE138" s="23"/>
      <c r="DF138" s="23"/>
      <c r="DG138" s="23"/>
      <c r="DH138" s="23"/>
      <c r="DI138" s="23"/>
      <c r="DJ138" s="23"/>
      <c r="DK138" s="23"/>
      <c r="DL138" s="23"/>
      <c r="DM138" s="23"/>
      <c r="DN138" s="23"/>
      <c r="DO138" s="23"/>
      <c r="DP138" s="23"/>
      <c r="DQ138" s="23">
        <f>T138</f>
        <v>1610</v>
      </c>
      <c r="DR138" s="23"/>
      <c r="DS138" s="23" t="e">
        <f>U138</f>
        <v>#REF!</v>
      </c>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f>T138</f>
        <v>1610</v>
      </c>
      <c r="HA138" s="23"/>
      <c r="HB138" s="23">
        <f>T138</f>
        <v>1610</v>
      </c>
      <c r="HC138" s="23"/>
      <c r="HD138" s="23"/>
      <c r="HE138" s="23"/>
      <c r="HF138" s="23">
        <f>T138</f>
        <v>1610</v>
      </c>
      <c r="HG138" s="23"/>
      <c r="HH138" s="23"/>
      <c r="HI138" s="23"/>
      <c r="HJ138" s="23"/>
      <c r="HK138" s="23"/>
      <c r="HL138" s="23">
        <f>T138</f>
        <v>1610</v>
      </c>
      <c r="HM138" s="23"/>
      <c r="HN138" s="23">
        <f>T138</f>
        <v>1610</v>
      </c>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x14ac:dyDescent="0.2">
      <c r="A139" s="79"/>
      <c r="B139" s="80"/>
      <c r="C139" s="80" t="s">
        <v>354</v>
      </c>
      <c r="D139" s="81" t="s">
        <v>355</v>
      </c>
      <c r="E139" s="82">
        <v>14.68</v>
      </c>
      <c r="F139" s="83"/>
      <c r="G139" s="84"/>
      <c r="H139" s="83" t="e">
        <f>ROUND(Source!AH66,2)</f>
        <v>#REF!</v>
      </c>
      <c r="I139" s="98" t="e">
        <f>Source!U66</f>
        <v>#REF!</v>
      </c>
      <c r="J139" s="86"/>
      <c r="K139" s="87"/>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ht="24" x14ac:dyDescent="0.2">
      <c r="A140" s="101" t="s">
        <v>95</v>
      </c>
      <c r="B140" s="110" t="s">
        <v>61</v>
      </c>
      <c r="C140" s="102" t="s">
        <v>62</v>
      </c>
      <c r="D140" s="103" t="s">
        <v>63</v>
      </c>
      <c r="E140" s="104">
        <f>Source!I68</f>
        <v>0.24610800000000002</v>
      </c>
      <c r="F140" s="105">
        <v>57.14</v>
      </c>
      <c r="G140" s="106"/>
      <c r="H140" s="105">
        <f>Source!AC67</f>
        <v>57.14</v>
      </c>
      <c r="I140" s="107">
        <f>T140</f>
        <v>14</v>
      </c>
      <c r="J140" s="108" t="s">
        <v>356</v>
      </c>
      <c r="K140" s="109">
        <f>U140</f>
        <v>65</v>
      </c>
      <c r="L140" s="23"/>
      <c r="M140" s="23"/>
      <c r="N140" s="23"/>
      <c r="O140" s="23"/>
      <c r="P140" s="23"/>
      <c r="Q140" s="23"/>
      <c r="R140" s="23"/>
      <c r="S140" s="23"/>
      <c r="T140" s="23">
        <f>ROUND(Source!AC67*Source!AW67*Source!I67,0)</f>
        <v>14</v>
      </c>
      <c r="U140" s="23">
        <f>Source!P68</f>
        <v>65</v>
      </c>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v>1</v>
      </c>
      <c r="CW140" s="23"/>
      <c r="CX140" s="23"/>
      <c r="CY140" s="23"/>
      <c r="CZ140" s="23"/>
      <c r="DA140" s="23"/>
      <c r="DB140" s="23"/>
      <c r="DC140" s="23"/>
      <c r="DD140" s="23"/>
      <c r="DE140" s="23"/>
      <c r="DF140" s="23"/>
      <c r="DG140" s="23"/>
      <c r="DH140" s="23"/>
      <c r="DI140" s="23"/>
      <c r="DJ140" s="23"/>
      <c r="DK140" s="23">
        <f>T140</f>
        <v>14</v>
      </c>
      <c r="DL140" s="23"/>
      <c r="DM140" s="23">
        <f>Source!P68</f>
        <v>65</v>
      </c>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f>T140</f>
        <v>14</v>
      </c>
      <c r="GK140" s="23"/>
      <c r="GL140" s="23"/>
      <c r="GM140" s="23"/>
      <c r="GN140" s="23">
        <f>T140</f>
        <v>14</v>
      </c>
      <c r="GO140" s="23"/>
      <c r="GP140" s="23">
        <f>T140</f>
        <v>14</v>
      </c>
      <c r="GQ140" s="23">
        <f>T140</f>
        <v>14</v>
      </c>
      <c r="GR140" s="23"/>
      <c r="GS140" s="23">
        <f>T140</f>
        <v>14</v>
      </c>
      <c r="GT140" s="23"/>
      <c r="GU140" s="23"/>
      <c r="GV140" s="23"/>
      <c r="GW140" s="23"/>
      <c r="GX140" s="23"/>
      <c r="GY140" s="23"/>
      <c r="GZ140" s="23"/>
      <c r="HA140" s="23"/>
      <c r="HB140" s="23">
        <f>T140</f>
        <v>14</v>
      </c>
      <c r="HC140" s="23"/>
      <c r="HD140" s="23"/>
      <c r="HE140" s="23"/>
      <c r="HF140" s="23">
        <f>T140</f>
        <v>14</v>
      </c>
      <c r="HG140" s="23"/>
      <c r="HH140" s="23"/>
      <c r="HI140" s="23"/>
      <c r="HJ140" s="23"/>
      <c r="HK140" s="23"/>
      <c r="HL140" s="23">
        <f>T140</f>
        <v>14</v>
      </c>
      <c r="HM140" s="23"/>
      <c r="HN140" s="23">
        <f>T140</f>
        <v>14</v>
      </c>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x14ac:dyDescent="0.2">
      <c r="A141" s="65"/>
      <c r="B141" s="112" t="s">
        <v>357</v>
      </c>
      <c r="C141" s="112" t="s">
        <v>362</v>
      </c>
      <c r="D141" s="64"/>
      <c r="E141" s="64"/>
      <c r="F141" s="64"/>
      <c r="G141" s="64"/>
      <c r="H141" s="64"/>
      <c r="I141" s="64"/>
      <c r="J141" s="64"/>
      <c r="K141" s="66"/>
    </row>
    <row r="142" spans="1:255" x14ac:dyDescent="0.2">
      <c r="A142" s="101" t="s">
        <v>96</v>
      </c>
      <c r="B142" s="110" t="s">
        <v>84</v>
      </c>
      <c r="C142" s="102" t="s">
        <v>85</v>
      </c>
      <c r="D142" s="103" t="s">
        <v>44</v>
      </c>
      <c r="E142" s="104">
        <f>Source!I70</f>
        <v>0.82651300000000005</v>
      </c>
      <c r="F142" s="105">
        <v>4319.75</v>
      </c>
      <c r="G142" s="106"/>
      <c r="H142" s="105">
        <f>Source!AC69</f>
        <v>4319.75</v>
      </c>
      <c r="I142" s="107">
        <f>T142</f>
        <v>3570</v>
      </c>
      <c r="J142" s="108" t="s">
        <v>356</v>
      </c>
      <c r="K142" s="109">
        <f>U142</f>
        <v>14699</v>
      </c>
      <c r="L142" s="23"/>
      <c r="M142" s="23"/>
      <c r="N142" s="23"/>
      <c r="O142" s="23"/>
      <c r="P142" s="23"/>
      <c r="Q142" s="23"/>
      <c r="R142" s="23"/>
      <c r="S142" s="23"/>
      <c r="T142" s="23">
        <f>ROUND(Source!AC69*Source!AW69*Source!I69,0)</f>
        <v>3570</v>
      </c>
      <c r="U142" s="23">
        <f>Source!P70</f>
        <v>14699</v>
      </c>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v>1</v>
      </c>
      <c r="CW142" s="23"/>
      <c r="CX142" s="23"/>
      <c r="CY142" s="23"/>
      <c r="CZ142" s="23"/>
      <c r="DA142" s="23"/>
      <c r="DB142" s="23"/>
      <c r="DC142" s="23"/>
      <c r="DD142" s="23"/>
      <c r="DE142" s="23"/>
      <c r="DF142" s="23"/>
      <c r="DG142" s="23"/>
      <c r="DH142" s="23"/>
      <c r="DI142" s="23"/>
      <c r="DJ142" s="23"/>
      <c r="DK142" s="23">
        <f>T142</f>
        <v>3570</v>
      </c>
      <c r="DL142" s="23"/>
      <c r="DM142" s="23">
        <f>Source!P70</f>
        <v>14699</v>
      </c>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f>T142</f>
        <v>3570</v>
      </c>
      <c r="GK142" s="23"/>
      <c r="GL142" s="23"/>
      <c r="GM142" s="23"/>
      <c r="GN142" s="23">
        <f>T142</f>
        <v>3570</v>
      </c>
      <c r="GO142" s="23"/>
      <c r="GP142" s="23">
        <f>T142</f>
        <v>3570</v>
      </c>
      <c r="GQ142" s="23">
        <f>T142</f>
        <v>3570</v>
      </c>
      <c r="GR142" s="23"/>
      <c r="GS142" s="23">
        <f>T142</f>
        <v>3570</v>
      </c>
      <c r="GT142" s="23"/>
      <c r="GU142" s="23"/>
      <c r="GV142" s="23"/>
      <c r="GW142" s="23"/>
      <c r="GX142" s="23"/>
      <c r="GY142" s="23"/>
      <c r="GZ142" s="23"/>
      <c r="HA142" s="23"/>
      <c r="HB142" s="23">
        <f>T142</f>
        <v>3570</v>
      </c>
      <c r="HC142" s="23"/>
      <c r="HD142" s="23"/>
      <c r="HE142" s="23"/>
      <c r="HF142" s="23">
        <f>T142</f>
        <v>3570</v>
      </c>
      <c r="HG142" s="23"/>
      <c r="HH142" s="23"/>
      <c r="HI142" s="23"/>
      <c r="HJ142" s="23"/>
      <c r="HK142" s="23"/>
      <c r="HL142" s="23">
        <f>T142</f>
        <v>3570</v>
      </c>
      <c r="HM142" s="23"/>
      <c r="HN142" s="23">
        <f>T142</f>
        <v>3570</v>
      </c>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x14ac:dyDescent="0.2">
      <c r="A143" s="65"/>
      <c r="B143" s="112" t="s">
        <v>357</v>
      </c>
      <c r="C143" s="112" t="s">
        <v>365</v>
      </c>
      <c r="D143" s="64"/>
      <c r="E143" s="64"/>
      <c r="F143" s="64"/>
      <c r="G143" s="64"/>
      <c r="H143" s="64"/>
      <c r="I143" s="64"/>
      <c r="J143" s="64"/>
      <c r="K143" s="66"/>
    </row>
    <row r="144" spans="1:255" x14ac:dyDescent="0.2">
      <c r="A144" s="101" t="s">
        <v>97</v>
      </c>
      <c r="B144" s="110" t="s">
        <v>31</v>
      </c>
      <c r="C144" s="102" t="s">
        <v>32</v>
      </c>
      <c r="D144" s="103" t="s">
        <v>33</v>
      </c>
      <c r="E144" s="104">
        <f>Source!I72</f>
        <v>2.0508999999999999</v>
      </c>
      <c r="F144" s="105">
        <v>1.82</v>
      </c>
      <c r="G144" s="106"/>
      <c r="H144" s="105">
        <f>Source!AC71</f>
        <v>1.82</v>
      </c>
      <c r="I144" s="107">
        <f>T144</f>
        <v>4</v>
      </c>
      <c r="J144" s="108" t="s">
        <v>356</v>
      </c>
      <c r="K144" s="109">
        <f>U144</f>
        <v>66</v>
      </c>
      <c r="L144" s="23"/>
      <c r="M144" s="23"/>
      <c r="N144" s="23"/>
      <c r="O144" s="23"/>
      <c r="P144" s="23"/>
      <c r="Q144" s="23"/>
      <c r="R144" s="23"/>
      <c r="S144" s="23"/>
      <c r="T144" s="23">
        <f>ROUND(Source!AC71*Source!AW71*Source!I71,0)</f>
        <v>4</v>
      </c>
      <c r="U144" s="23">
        <f>Source!P72</f>
        <v>66</v>
      </c>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v>1</v>
      </c>
      <c r="CW144" s="23"/>
      <c r="CX144" s="23"/>
      <c r="CY144" s="23"/>
      <c r="CZ144" s="23"/>
      <c r="DA144" s="23"/>
      <c r="DB144" s="23"/>
      <c r="DC144" s="23"/>
      <c r="DD144" s="23"/>
      <c r="DE144" s="23"/>
      <c r="DF144" s="23"/>
      <c r="DG144" s="23"/>
      <c r="DH144" s="23"/>
      <c r="DI144" s="23"/>
      <c r="DJ144" s="23"/>
      <c r="DK144" s="23">
        <f>T144</f>
        <v>4</v>
      </c>
      <c r="DL144" s="23"/>
      <c r="DM144" s="23">
        <f>Source!P72</f>
        <v>66</v>
      </c>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f>T144</f>
        <v>4</v>
      </c>
      <c r="GK144" s="23"/>
      <c r="GL144" s="23"/>
      <c r="GM144" s="23"/>
      <c r="GN144" s="23">
        <f>T144</f>
        <v>4</v>
      </c>
      <c r="GO144" s="23"/>
      <c r="GP144" s="23">
        <f>T144</f>
        <v>4</v>
      </c>
      <c r="GQ144" s="23">
        <f>T144</f>
        <v>4</v>
      </c>
      <c r="GR144" s="23"/>
      <c r="GS144" s="23">
        <f>T144</f>
        <v>4</v>
      </c>
      <c r="GT144" s="23"/>
      <c r="GU144" s="23"/>
      <c r="GV144" s="23"/>
      <c r="GW144" s="23"/>
      <c r="GX144" s="23"/>
      <c r="GY144" s="23"/>
      <c r="GZ144" s="23"/>
      <c r="HA144" s="23"/>
      <c r="HB144" s="23">
        <f>T144</f>
        <v>4</v>
      </c>
      <c r="HC144" s="23"/>
      <c r="HD144" s="23"/>
      <c r="HE144" s="23"/>
      <c r="HF144" s="23">
        <f>T144</f>
        <v>4</v>
      </c>
      <c r="HG144" s="23"/>
      <c r="HH144" s="23"/>
      <c r="HI144" s="23"/>
      <c r="HJ144" s="23"/>
      <c r="HK144" s="23"/>
      <c r="HL144" s="23">
        <f>T144</f>
        <v>4</v>
      </c>
      <c r="HM144" s="23"/>
      <c r="HN144" s="23">
        <f>T144</f>
        <v>4</v>
      </c>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x14ac:dyDescent="0.2">
      <c r="A145" s="65"/>
      <c r="B145" s="112" t="s">
        <v>357</v>
      </c>
      <c r="C145" s="112" t="s">
        <v>358</v>
      </c>
      <c r="D145" s="64"/>
      <c r="E145" s="64"/>
      <c r="F145" s="64"/>
      <c r="G145" s="64"/>
      <c r="H145" s="64"/>
      <c r="I145" s="64"/>
      <c r="J145" s="64"/>
      <c r="K145" s="66"/>
    </row>
    <row r="146" spans="1:255" x14ac:dyDescent="0.2">
      <c r="A146" s="115" t="s">
        <v>98</v>
      </c>
      <c r="B146" s="116" t="s">
        <v>73</v>
      </c>
      <c r="C146" s="117" t="s">
        <v>74</v>
      </c>
      <c r="D146" s="118" t="s">
        <v>75</v>
      </c>
      <c r="E146" s="119">
        <f>Source!I74</f>
        <v>0.35070400000000002</v>
      </c>
      <c r="F146" s="120">
        <v>7.14</v>
      </c>
      <c r="G146" s="72"/>
      <c r="H146" s="120">
        <f>Source!AC73</f>
        <v>7.14</v>
      </c>
      <c r="I146" s="121">
        <f>T146</f>
        <v>3</v>
      </c>
      <c r="J146" s="74" t="s">
        <v>356</v>
      </c>
      <c r="K146" s="122">
        <f>U146</f>
        <v>5</v>
      </c>
      <c r="L146" s="23"/>
      <c r="M146" s="23"/>
      <c r="N146" s="23"/>
      <c r="O146" s="23"/>
      <c r="P146" s="23"/>
      <c r="Q146" s="23"/>
      <c r="R146" s="23"/>
      <c r="S146" s="23"/>
      <c r="T146" s="23">
        <f>ROUND(Source!AC73*Source!AW73*Source!I73,0)</f>
        <v>3</v>
      </c>
      <c r="U146" s="23">
        <f>Source!P74</f>
        <v>5</v>
      </c>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v>1</v>
      </c>
      <c r="CW146" s="23"/>
      <c r="CX146" s="23"/>
      <c r="CY146" s="23"/>
      <c r="CZ146" s="23"/>
      <c r="DA146" s="23"/>
      <c r="DB146" s="23"/>
      <c r="DC146" s="23"/>
      <c r="DD146" s="23"/>
      <c r="DE146" s="23"/>
      <c r="DF146" s="23"/>
      <c r="DG146" s="23"/>
      <c r="DH146" s="23"/>
      <c r="DI146" s="23"/>
      <c r="DJ146" s="23"/>
      <c r="DK146" s="23">
        <f>T146</f>
        <v>3</v>
      </c>
      <c r="DL146" s="23"/>
      <c r="DM146" s="23">
        <f>Source!P74</f>
        <v>5</v>
      </c>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f>T146</f>
        <v>3</v>
      </c>
      <c r="GK146" s="23"/>
      <c r="GL146" s="23"/>
      <c r="GM146" s="23"/>
      <c r="GN146" s="23">
        <f>T146</f>
        <v>3</v>
      </c>
      <c r="GO146" s="23"/>
      <c r="GP146" s="23">
        <f>T146</f>
        <v>3</v>
      </c>
      <c r="GQ146" s="23">
        <f>T146</f>
        <v>3</v>
      </c>
      <c r="GR146" s="23"/>
      <c r="GS146" s="23">
        <f>T146</f>
        <v>3</v>
      </c>
      <c r="GT146" s="23"/>
      <c r="GU146" s="23"/>
      <c r="GV146" s="23"/>
      <c r="GW146" s="23"/>
      <c r="GX146" s="23"/>
      <c r="GY146" s="23"/>
      <c r="GZ146" s="23"/>
      <c r="HA146" s="23"/>
      <c r="HB146" s="23">
        <f>T146</f>
        <v>3</v>
      </c>
      <c r="HC146" s="23"/>
      <c r="HD146" s="23"/>
      <c r="HE146" s="23"/>
      <c r="HF146" s="23">
        <f>T146</f>
        <v>3</v>
      </c>
      <c r="HG146" s="23"/>
      <c r="HH146" s="23"/>
      <c r="HI146" s="23"/>
      <c r="HJ146" s="23"/>
      <c r="HK146" s="23"/>
      <c r="HL146" s="23">
        <f>T146</f>
        <v>3</v>
      </c>
      <c r="HM146" s="23"/>
      <c r="HN146" s="23">
        <f>T146</f>
        <v>3</v>
      </c>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x14ac:dyDescent="0.2">
      <c r="A147" s="99"/>
      <c r="B147" s="114" t="s">
        <v>357</v>
      </c>
      <c r="C147" s="114" t="s">
        <v>364</v>
      </c>
      <c r="D147" s="33"/>
      <c r="E147" s="33"/>
      <c r="F147" s="33"/>
      <c r="G147" s="33"/>
      <c r="H147" s="33"/>
      <c r="I147" s="33"/>
      <c r="J147" s="33"/>
      <c r="K147" s="100"/>
    </row>
    <row r="148" spans="1:255" ht="13.5" thickBot="1" x14ac:dyDescent="0.25">
      <c r="A148" s="125"/>
      <c r="B148" s="126"/>
      <c r="C148" s="126" t="s">
        <v>360</v>
      </c>
      <c r="D148" s="126"/>
      <c r="E148" s="126"/>
      <c r="F148" s="126"/>
      <c r="G148" s="126"/>
      <c r="H148" s="309">
        <f>SUM(DK133:DK147)</f>
        <v>3591</v>
      </c>
      <c r="I148" s="310"/>
      <c r="J148" s="309">
        <f>SUM(DM133:DM147)</f>
        <v>14835</v>
      </c>
      <c r="K148" s="311"/>
      <c r="L148" s="113"/>
      <c r="M148" s="113"/>
      <c r="N148" s="11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x14ac:dyDescent="0.2">
      <c r="A149" s="124"/>
      <c r="B149" s="123"/>
      <c r="C149" s="123" t="s">
        <v>361</v>
      </c>
      <c r="D149" s="123"/>
      <c r="E149" s="123"/>
      <c r="F149" s="123"/>
      <c r="G149" s="123"/>
      <c r="H149" s="312">
        <f>R149</f>
        <v>11365</v>
      </c>
      <c r="I149" s="313"/>
      <c r="J149" s="312" t="e">
        <f>S149</f>
        <v>#REF!</v>
      </c>
      <c r="K149" s="314"/>
      <c r="O149" s="23"/>
      <c r="P149" s="23"/>
      <c r="Q149" s="23"/>
      <c r="R149" s="23">
        <f>SUM(T133:T148)</f>
        <v>11365</v>
      </c>
      <c r="S149" s="23" t="e">
        <f>SUM(U133:U148)</f>
        <v>#REF!</v>
      </c>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f>R149</f>
        <v>11365</v>
      </c>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x14ac:dyDescent="0.2">
      <c r="A150" s="78"/>
      <c r="B150" s="77"/>
      <c r="C150" s="77"/>
      <c r="D150" s="77"/>
      <c r="E150" s="77"/>
      <c r="F150" s="77"/>
      <c r="G150" s="77"/>
      <c r="H150" s="306"/>
      <c r="I150" s="307"/>
      <c r="J150" s="306"/>
      <c r="K150" s="308"/>
    </row>
    <row r="151" spans="1:255" ht="36" x14ac:dyDescent="0.2">
      <c r="A151" s="127">
        <v>7</v>
      </c>
      <c r="B151" s="134" t="s">
        <v>100</v>
      </c>
      <c r="C151" s="128" t="s">
        <v>101</v>
      </c>
      <c r="D151" s="129" t="s">
        <v>23</v>
      </c>
      <c r="E151" s="130">
        <v>4.7140000000000004</v>
      </c>
      <c r="F151" s="131">
        <f>Source!AK76</f>
        <v>160.84</v>
      </c>
      <c r="G151" s="135" t="s">
        <v>6</v>
      </c>
      <c r="H151" s="131"/>
      <c r="I151" s="132">
        <f>SUM(DQ151:DQ162)</f>
        <v>1951</v>
      </c>
      <c r="J151" s="108" t="s">
        <v>100</v>
      </c>
      <c r="K151" s="133" t="e">
        <f>SUM(DS151:DS162)</f>
        <v>#REF!</v>
      </c>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x14ac:dyDescent="0.2">
      <c r="A152" s="67"/>
      <c r="B152" s="68"/>
      <c r="C152" s="68" t="s">
        <v>348</v>
      </c>
      <c r="D152" s="69"/>
      <c r="E152" s="70"/>
      <c r="F152" s="71">
        <v>158.30000000000001</v>
      </c>
      <c r="G152" s="72"/>
      <c r="H152" s="71">
        <f>Source!AF76</f>
        <v>158.30000000000001</v>
      </c>
      <c r="I152" s="73">
        <f>T152</f>
        <v>746</v>
      </c>
      <c r="J152" s="74">
        <v>34.6</v>
      </c>
      <c r="K152" s="75">
        <f>U152</f>
        <v>25819</v>
      </c>
      <c r="O152" s="23"/>
      <c r="P152" s="23"/>
      <c r="Q152" s="23"/>
      <c r="R152" s="23"/>
      <c r="S152" s="23"/>
      <c r="T152" s="23">
        <f>ROUND(Source!AF76*Source!AV76*Source!I76,0)</f>
        <v>746</v>
      </c>
      <c r="U152" s="23">
        <f>Source!S76</f>
        <v>25819</v>
      </c>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v>1</v>
      </c>
      <c r="CW152" s="23"/>
      <c r="CX152" s="23"/>
      <c r="CY152" s="23"/>
      <c r="CZ152" s="23"/>
      <c r="DA152" s="23"/>
      <c r="DB152" s="23"/>
      <c r="DC152" s="23"/>
      <c r="DD152" s="23"/>
      <c r="DE152" s="23"/>
      <c r="DF152" s="23"/>
      <c r="DG152" s="23">
        <f>Source!S76</f>
        <v>25819</v>
      </c>
      <c r="DH152" s="23">
        <v>1009</v>
      </c>
      <c r="DI152" s="23"/>
      <c r="DJ152" s="23"/>
      <c r="DK152" s="23"/>
      <c r="DL152" s="23"/>
      <c r="DM152" s="23"/>
      <c r="DN152" s="23"/>
      <c r="DO152" s="23"/>
      <c r="DP152" s="23"/>
      <c r="DQ152" s="23">
        <f>T152</f>
        <v>746</v>
      </c>
      <c r="DR152" s="23"/>
      <c r="DS152" s="23">
        <f>U152</f>
        <v>25819</v>
      </c>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f>T152</f>
        <v>746</v>
      </c>
      <c r="GK152" s="23">
        <f>T152</f>
        <v>746</v>
      </c>
      <c r="GL152" s="23"/>
      <c r="GM152" s="23"/>
      <c r="GN152" s="23"/>
      <c r="GO152" s="23"/>
      <c r="GP152" s="23"/>
      <c r="GQ152" s="23"/>
      <c r="GR152" s="23"/>
      <c r="GS152" s="23"/>
      <c r="GT152" s="23"/>
      <c r="GU152" s="23"/>
      <c r="GV152" s="23"/>
      <c r="GW152" s="23"/>
      <c r="GX152" s="23"/>
      <c r="GY152" s="23"/>
      <c r="GZ152" s="23"/>
      <c r="HA152" s="23"/>
      <c r="HB152" s="23">
        <f>T152</f>
        <v>746</v>
      </c>
      <c r="HC152" s="23"/>
      <c r="HD152" s="23"/>
      <c r="HE152" s="23"/>
      <c r="HF152" s="23">
        <f>T152</f>
        <v>746</v>
      </c>
      <c r="HG152" s="23"/>
      <c r="HH152" s="23"/>
      <c r="HI152" s="23"/>
      <c r="HJ152" s="23"/>
      <c r="HK152" s="23"/>
      <c r="HL152" s="23">
        <f>T152</f>
        <v>746</v>
      </c>
      <c r="HM152" s="23"/>
      <c r="HN152" s="23">
        <f>T152</f>
        <v>746</v>
      </c>
      <c r="HO152" s="23"/>
      <c r="HP152" s="23"/>
      <c r="HQ152" s="23"/>
      <c r="HR152" s="23"/>
      <c r="HS152" s="23"/>
      <c r="HT152" s="23"/>
      <c r="HU152" s="23"/>
      <c r="HV152" s="23"/>
      <c r="HW152" s="23"/>
      <c r="HX152" s="23">
        <f>T152</f>
        <v>746</v>
      </c>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x14ac:dyDescent="0.2">
      <c r="A153" s="79"/>
      <c r="B153" s="80"/>
      <c r="C153" s="80" t="s">
        <v>349</v>
      </c>
      <c r="D153" s="81"/>
      <c r="E153" s="82"/>
      <c r="F153" s="83">
        <v>2.1800000000000002</v>
      </c>
      <c r="G153" s="84"/>
      <c r="H153" s="83">
        <f>Source!AD76</f>
        <v>2.1800000000000002</v>
      </c>
      <c r="I153" s="85">
        <f>T153</f>
        <v>10</v>
      </c>
      <c r="J153" s="86">
        <v>12.77</v>
      </c>
      <c r="K153" s="87">
        <f>U153</f>
        <v>131</v>
      </c>
      <c r="O153" s="23"/>
      <c r="P153" s="23"/>
      <c r="Q153" s="23"/>
      <c r="R153" s="23"/>
      <c r="S153" s="23"/>
      <c r="T153" s="23">
        <f>ROUND(Source!AD76*Source!AV76*Source!I76,0)</f>
        <v>10</v>
      </c>
      <c r="U153" s="23">
        <f>Source!Q76</f>
        <v>131</v>
      </c>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v>1</v>
      </c>
      <c r="CW153" s="23"/>
      <c r="CX153" s="23"/>
      <c r="CY153" s="23"/>
      <c r="CZ153" s="23"/>
      <c r="DA153" s="23"/>
      <c r="DB153" s="23"/>
      <c r="DC153" s="23"/>
      <c r="DD153" s="23"/>
      <c r="DE153" s="23"/>
      <c r="DF153" s="23"/>
      <c r="DG153" s="23"/>
      <c r="DH153" s="23"/>
      <c r="DI153" s="23"/>
      <c r="DJ153" s="23"/>
      <c r="DK153" s="23"/>
      <c r="DL153" s="23"/>
      <c r="DM153" s="23"/>
      <c r="DN153" s="23"/>
      <c r="DO153" s="23"/>
      <c r="DP153" s="23"/>
      <c r="DQ153" s="23">
        <f>T153</f>
        <v>10</v>
      </c>
      <c r="DR153" s="23"/>
      <c r="DS153" s="23">
        <f>U153</f>
        <v>131</v>
      </c>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f>T153</f>
        <v>10</v>
      </c>
      <c r="GK153" s="23"/>
      <c r="GL153" s="23">
        <f>T153</f>
        <v>10</v>
      </c>
      <c r="GM153" s="23"/>
      <c r="GN153" s="23"/>
      <c r="GO153" s="23"/>
      <c r="GP153" s="23"/>
      <c r="GQ153" s="23"/>
      <c r="GR153" s="23"/>
      <c r="GS153" s="23"/>
      <c r="GT153" s="23"/>
      <c r="GU153" s="23"/>
      <c r="GV153" s="23"/>
      <c r="GW153" s="23"/>
      <c r="GX153" s="23"/>
      <c r="GY153" s="23"/>
      <c r="GZ153" s="23"/>
      <c r="HA153" s="23"/>
      <c r="HB153" s="23">
        <f>T153</f>
        <v>10</v>
      </c>
      <c r="HC153" s="23"/>
      <c r="HD153" s="23"/>
      <c r="HE153" s="23"/>
      <c r="HF153" s="23">
        <f>T153</f>
        <v>10</v>
      </c>
      <c r="HG153" s="23"/>
      <c r="HH153" s="23"/>
      <c r="HI153" s="23"/>
      <c r="HJ153" s="23"/>
      <c r="HK153" s="23"/>
      <c r="HL153" s="23">
        <f>T153</f>
        <v>10</v>
      </c>
      <c r="HM153" s="23"/>
      <c r="HN153" s="23">
        <f>T153</f>
        <v>10</v>
      </c>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x14ac:dyDescent="0.2">
      <c r="A154" s="79"/>
      <c r="B154" s="80"/>
      <c r="C154" s="80" t="s">
        <v>350</v>
      </c>
      <c r="D154" s="81"/>
      <c r="E154" s="82"/>
      <c r="F154" s="83">
        <v>0.14000000000000001</v>
      </c>
      <c r="G154" s="84"/>
      <c r="H154" s="83">
        <f>Source!AE76</f>
        <v>0.14000000000000001</v>
      </c>
      <c r="I154" s="85">
        <f>GM154</f>
        <v>1</v>
      </c>
      <c r="J154" s="86">
        <v>30.1</v>
      </c>
      <c r="K154" s="87">
        <f>Source!R76</f>
        <v>20</v>
      </c>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f>ROUND(Source!AE76*Source!AV76*Source!I76,0)</f>
        <v>1</v>
      </c>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f>GM154</f>
        <v>1</v>
      </c>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x14ac:dyDescent="0.2">
      <c r="A155" s="88"/>
      <c r="B155" s="89"/>
      <c r="C155" s="89" t="s">
        <v>351</v>
      </c>
      <c r="D155" s="90"/>
      <c r="E155" s="91">
        <v>105</v>
      </c>
      <c r="F155" s="92" t="s">
        <v>352</v>
      </c>
      <c r="G155" s="93"/>
      <c r="H155" s="94">
        <f>ROUND((Source!AF76*Source!AV76+Source!AE76*Source!AV76)*(Source!FX76)/100,2)</f>
        <v>166.36</v>
      </c>
      <c r="I155" s="95">
        <f>T155</f>
        <v>784</v>
      </c>
      <c r="J155" s="97">
        <v>1.05</v>
      </c>
      <c r="K155" s="96" t="e">
        <f>U155</f>
        <v>#REF!</v>
      </c>
      <c r="O155" s="23"/>
      <c r="P155" s="23"/>
      <c r="Q155" s="23"/>
      <c r="R155" s="23"/>
      <c r="S155" s="23"/>
      <c r="T155" s="23">
        <f>ROUND((ROUND(Source!AF76*Source!AV76*Source!I76,0)+ROUND(Source!AE76*Source!AV76*Source!I76,0))*(Source!DN76)/100,0)</f>
        <v>784</v>
      </c>
      <c r="U155" s="23" t="e">
        <f>Source!X76</f>
        <v>#REF!</v>
      </c>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v>1</v>
      </c>
      <c r="CW155" s="23"/>
      <c r="CX155" s="23"/>
      <c r="CY155" s="23"/>
      <c r="CZ155" s="23"/>
      <c r="DA155" s="23"/>
      <c r="DB155" s="23"/>
      <c r="DC155" s="23"/>
      <c r="DD155" s="23"/>
      <c r="DE155" s="23"/>
      <c r="DF155" s="23"/>
      <c r="DG155" s="23"/>
      <c r="DH155" s="23"/>
      <c r="DI155" s="23"/>
      <c r="DJ155" s="23"/>
      <c r="DK155" s="23"/>
      <c r="DL155" s="23"/>
      <c r="DM155" s="23"/>
      <c r="DN155" s="23"/>
      <c r="DO155" s="23"/>
      <c r="DP155" s="23"/>
      <c r="DQ155" s="23">
        <f>T155</f>
        <v>784</v>
      </c>
      <c r="DR155" s="23"/>
      <c r="DS155" s="23" t="e">
        <f>U155</f>
        <v>#REF!</v>
      </c>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f>T155</f>
        <v>784</v>
      </c>
      <c r="GZ155" s="23"/>
      <c r="HA155" s="23"/>
      <c r="HB155" s="23">
        <f>T155</f>
        <v>784</v>
      </c>
      <c r="HC155" s="23"/>
      <c r="HD155" s="23"/>
      <c r="HE155" s="23"/>
      <c r="HF155" s="23">
        <f>T155</f>
        <v>784</v>
      </c>
      <c r="HG155" s="23"/>
      <c r="HH155" s="23"/>
      <c r="HI155" s="23"/>
      <c r="HJ155" s="23"/>
      <c r="HK155" s="23"/>
      <c r="HL155" s="23">
        <f>T155</f>
        <v>784</v>
      </c>
      <c r="HM155" s="23"/>
      <c r="HN155" s="23">
        <f>T155</f>
        <v>784</v>
      </c>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x14ac:dyDescent="0.2">
      <c r="A156" s="88"/>
      <c r="B156" s="89"/>
      <c r="C156" s="89" t="s">
        <v>353</v>
      </c>
      <c r="D156" s="90"/>
      <c r="E156" s="91">
        <v>55</v>
      </c>
      <c r="F156" s="92" t="s">
        <v>352</v>
      </c>
      <c r="G156" s="93"/>
      <c r="H156" s="94">
        <f>ROUND((Source!AF76*Source!AV76+Source!AE76*Source!AV76)*(Source!FY76)/100,2)</f>
        <v>87.14</v>
      </c>
      <c r="I156" s="95">
        <f>T156</f>
        <v>411</v>
      </c>
      <c r="J156" s="97">
        <v>0.55000000000000004</v>
      </c>
      <c r="K156" s="96" t="e">
        <f>U156</f>
        <v>#REF!</v>
      </c>
      <c r="O156" s="23"/>
      <c r="P156" s="23"/>
      <c r="Q156" s="23"/>
      <c r="R156" s="23"/>
      <c r="S156" s="23"/>
      <c r="T156" s="23">
        <f>ROUND((ROUND(Source!AF76*Source!AV76*Source!I76,0)+ROUND(Source!AE76*Source!AV76*Source!I76,0))*(Source!DO76)/100,0)</f>
        <v>411</v>
      </c>
      <c r="U156" s="23" t="e">
        <f>Source!Y76</f>
        <v>#REF!</v>
      </c>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v>1</v>
      </c>
      <c r="CW156" s="23"/>
      <c r="CX156" s="23"/>
      <c r="CY156" s="23"/>
      <c r="CZ156" s="23"/>
      <c r="DA156" s="23"/>
      <c r="DB156" s="23"/>
      <c r="DC156" s="23"/>
      <c r="DD156" s="23"/>
      <c r="DE156" s="23"/>
      <c r="DF156" s="23"/>
      <c r="DG156" s="23"/>
      <c r="DH156" s="23"/>
      <c r="DI156" s="23"/>
      <c r="DJ156" s="23"/>
      <c r="DK156" s="23"/>
      <c r="DL156" s="23"/>
      <c r="DM156" s="23"/>
      <c r="DN156" s="23"/>
      <c r="DO156" s="23"/>
      <c r="DP156" s="23"/>
      <c r="DQ156" s="23">
        <f>T156</f>
        <v>411</v>
      </c>
      <c r="DR156" s="23"/>
      <c r="DS156" s="23" t="e">
        <f>U156</f>
        <v>#REF!</v>
      </c>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f>T156</f>
        <v>411</v>
      </c>
      <c r="HA156" s="23"/>
      <c r="HB156" s="23">
        <f>T156</f>
        <v>411</v>
      </c>
      <c r="HC156" s="23"/>
      <c r="HD156" s="23"/>
      <c r="HE156" s="23"/>
      <c r="HF156" s="23">
        <f>T156</f>
        <v>411</v>
      </c>
      <c r="HG156" s="23"/>
      <c r="HH156" s="23"/>
      <c r="HI156" s="23"/>
      <c r="HJ156" s="23"/>
      <c r="HK156" s="23"/>
      <c r="HL156" s="23">
        <f>T156</f>
        <v>411</v>
      </c>
      <c r="HM156" s="23"/>
      <c r="HN156" s="23">
        <f>T156</f>
        <v>411</v>
      </c>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x14ac:dyDescent="0.2">
      <c r="A157" s="79"/>
      <c r="B157" s="80"/>
      <c r="C157" s="80" t="s">
        <v>354</v>
      </c>
      <c r="D157" s="81" t="s">
        <v>355</v>
      </c>
      <c r="E157" s="82">
        <v>16.32</v>
      </c>
      <c r="F157" s="83"/>
      <c r="G157" s="84"/>
      <c r="H157" s="83" t="e">
        <f>ROUND(Source!AH76,2)</f>
        <v>#REF!</v>
      </c>
      <c r="I157" s="98" t="e">
        <f>Source!U76</f>
        <v>#REF!</v>
      </c>
      <c r="J157" s="86"/>
      <c r="K157" s="87"/>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x14ac:dyDescent="0.2">
      <c r="A158" s="101" t="s">
        <v>103</v>
      </c>
      <c r="B158" s="110" t="s">
        <v>31</v>
      </c>
      <c r="C158" s="102" t="s">
        <v>32</v>
      </c>
      <c r="D158" s="103" t="s">
        <v>33</v>
      </c>
      <c r="E158" s="104">
        <f>Source!I78</f>
        <v>0.94279999999999997</v>
      </c>
      <c r="F158" s="105">
        <v>1.82</v>
      </c>
      <c r="G158" s="106"/>
      <c r="H158" s="105">
        <f>Source!AC77</f>
        <v>1.82</v>
      </c>
      <c r="I158" s="107">
        <f>T158</f>
        <v>2</v>
      </c>
      <c r="J158" s="108" t="s">
        <v>356</v>
      </c>
      <c r="K158" s="109">
        <f>U158</f>
        <v>31</v>
      </c>
      <c r="L158" s="23"/>
      <c r="M158" s="23"/>
      <c r="N158" s="23"/>
      <c r="O158" s="23"/>
      <c r="P158" s="23"/>
      <c r="Q158" s="23"/>
      <c r="R158" s="23"/>
      <c r="S158" s="23"/>
      <c r="T158" s="23">
        <f>ROUND(Source!AC77*Source!AW77*Source!I77,0)</f>
        <v>2</v>
      </c>
      <c r="U158" s="23">
        <f>Source!P78</f>
        <v>31</v>
      </c>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v>1</v>
      </c>
      <c r="CW158" s="23"/>
      <c r="CX158" s="23"/>
      <c r="CY158" s="23"/>
      <c r="CZ158" s="23"/>
      <c r="DA158" s="23"/>
      <c r="DB158" s="23"/>
      <c r="DC158" s="23"/>
      <c r="DD158" s="23"/>
      <c r="DE158" s="23"/>
      <c r="DF158" s="23"/>
      <c r="DG158" s="23"/>
      <c r="DH158" s="23"/>
      <c r="DI158" s="23"/>
      <c r="DJ158" s="23"/>
      <c r="DK158" s="23">
        <f>T158</f>
        <v>2</v>
      </c>
      <c r="DL158" s="23"/>
      <c r="DM158" s="23">
        <f>Source!P78</f>
        <v>31</v>
      </c>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f>T158</f>
        <v>2</v>
      </c>
      <c r="GK158" s="23"/>
      <c r="GL158" s="23"/>
      <c r="GM158" s="23"/>
      <c r="GN158" s="23">
        <f>T158</f>
        <v>2</v>
      </c>
      <c r="GO158" s="23"/>
      <c r="GP158" s="23">
        <f>T158</f>
        <v>2</v>
      </c>
      <c r="GQ158" s="23">
        <f>T158</f>
        <v>2</v>
      </c>
      <c r="GR158" s="23"/>
      <c r="GS158" s="23">
        <f>T158</f>
        <v>2</v>
      </c>
      <c r="GT158" s="23"/>
      <c r="GU158" s="23"/>
      <c r="GV158" s="23"/>
      <c r="GW158" s="23"/>
      <c r="GX158" s="23"/>
      <c r="GY158" s="23"/>
      <c r="GZ158" s="23"/>
      <c r="HA158" s="23"/>
      <c r="HB158" s="23">
        <f>T158</f>
        <v>2</v>
      </c>
      <c r="HC158" s="23"/>
      <c r="HD158" s="23"/>
      <c r="HE158" s="23"/>
      <c r="HF158" s="23">
        <f>T158</f>
        <v>2</v>
      </c>
      <c r="HG158" s="23"/>
      <c r="HH158" s="23"/>
      <c r="HI158" s="23"/>
      <c r="HJ158" s="23"/>
      <c r="HK158" s="23"/>
      <c r="HL158" s="23">
        <f>T158</f>
        <v>2</v>
      </c>
      <c r="HM158" s="23"/>
      <c r="HN158" s="23">
        <f>T158</f>
        <v>2</v>
      </c>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x14ac:dyDescent="0.2">
      <c r="A159" s="65"/>
      <c r="B159" s="112" t="s">
        <v>357</v>
      </c>
      <c r="C159" s="112" t="s">
        <v>358</v>
      </c>
      <c r="D159" s="64"/>
      <c r="E159" s="64"/>
      <c r="F159" s="64"/>
      <c r="G159" s="64"/>
      <c r="H159" s="64"/>
      <c r="I159" s="64"/>
      <c r="J159" s="64"/>
      <c r="K159" s="66"/>
    </row>
    <row r="160" spans="1:255" ht="24" x14ac:dyDescent="0.2">
      <c r="A160" s="115" t="s">
        <v>104</v>
      </c>
      <c r="B160" s="116" t="s">
        <v>105</v>
      </c>
      <c r="C160" s="117" t="s">
        <v>106</v>
      </c>
      <c r="D160" s="118" t="s">
        <v>44</v>
      </c>
      <c r="E160" s="119">
        <f>Source!I80</f>
        <v>0.200345</v>
      </c>
      <c r="F160" s="120">
        <v>30737.73</v>
      </c>
      <c r="G160" s="72"/>
      <c r="H160" s="120">
        <f>Source!AC79</f>
        <v>30737.73</v>
      </c>
      <c r="I160" s="121">
        <f>T160</f>
        <v>6158</v>
      </c>
      <c r="J160" s="74" t="s">
        <v>356</v>
      </c>
      <c r="K160" s="122">
        <f>U160</f>
        <v>60115</v>
      </c>
      <c r="L160" s="23"/>
      <c r="M160" s="23"/>
      <c r="N160" s="23"/>
      <c r="O160" s="23"/>
      <c r="P160" s="23"/>
      <c r="Q160" s="23"/>
      <c r="R160" s="23"/>
      <c r="S160" s="23"/>
      <c r="T160" s="23">
        <f>ROUND(Source!AC79*Source!AW79*Source!I79,0)</f>
        <v>6158</v>
      </c>
      <c r="U160" s="23">
        <f>Source!P80</f>
        <v>60115</v>
      </c>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v>1</v>
      </c>
      <c r="CW160" s="23"/>
      <c r="CX160" s="23"/>
      <c r="CY160" s="23"/>
      <c r="CZ160" s="23"/>
      <c r="DA160" s="23"/>
      <c r="DB160" s="23"/>
      <c r="DC160" s="23"/>
      <c r="DD160" s="23"/>
      <c r="DE160" s="23"/>
      <c r="DF160" s="23"/>
      <c r="DG160" s="23"/>
      <c r="DH160" s="23"/>
      <c r="DI160" s="23"/>
      <c r="DJ160" s="23"/>
      <c r="DK160" s="23">
        <f>T160</f>
        <v>6158</v>
      </c>
      <c r="DL160" s="23"/>
      <c r="DM160" s="23">
        <f>Source!P80</f>
        <v>60115</v>
      </c>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f>T160</f>
        <v>6158</v>
      </c>
      <c r="GK160" s="23"/>
      <c r="GL160" s="23"/>
      <c r="GM160" s="23"/>
      <c r="GN160" s="23">
        <f>T160</f>
        <v>6158</v>
      </c>
      <c r="GO160" s="23"/>
      <c r="GP160" s="23">
        <f>T160</f>
        <v>6158</v>
      </c>
      <c r="GQ160" s="23">
        <f>T160</f>
        <v>6158</v>
      </c>
      <c r="GR160" s="23"/>
      <c r="GS160" s="23">
        <f>T160</f>
        <v>6158</v>
      </c>
      <c r="GT160" s="23"/>
      <c r="GU160" s="23"/>
      <c r="GV160" s="23"/>
      <c r="GW160" s="23"/>
      <c r="GX160" s="23"/>
      <c r="GY160" s="23"/>
      <c r="GZ160" s="23"/>
      <c r="HA160" s="23"/>
      <c r="HB160" s="23">
        <f>T160</f>
        <v>6158</v>
      </c>
      <c r="HC160" s="23"/>
      <c r="HD160" s="23"/>
      <c r="HE160" s="23"/>
      <c r="HF160" s="23">
        <f>T160</f>
        <v>6158</v>
      </c>
      <c r="HG160" s="23"/>
      <c r="HH160" s="23"/>
      <c r="HI160" s="23"/>
      <c r="HJ160" s="23"/>
      <c r="HK160" s="23"/>
      <c r="HL160" s="23">
        <f>T160</f>
        <v>6158</v>
      </c>
      <c r="HM160" s="23"/>
      <c r="HN160" s="23">
        <f>T160</f>
        <v>6158</v>
      </c>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x14ac:dyDescent="0.2">
      <c r="A161" s="99"/>
      <c r="B161" s="114" t="s">
        <v>357</v>
      </c>
      <c r="C161" s="114" t="s">
        <v>366</v>
      </c>
      <c r="D161" s="33"/>
      <c r="E161" s="33"/>
      <c r="F161" s="33"/>
      <c r="G161" s="33"/>
      <c r="H161" s="33"/>
      <c r="I161" s="33"/>
      <c r="J161" s="33"/>
      <c r="K161" s="100"/>
    </row>
    <row r="162" spans="1:255" ht="13.5" thickBot="1" x14ac:dyDescent="0.25">
      <c r="A162" s="125"/>
      <c r="B162" s="126"/>
      <c r="C162" s="126" t="s">
        <v>360</v>
      </c>
      <c r="D162" s="126"/>
      <c r="E162" s="126"/>
      <c r="F162" s="126"/>
      <c r="G162" s="126"/>
      <c r="H162" s="309">
        <f>SUM(DK151:DK161)</f>
        <v>6160</v>
      </c>
      <c r="I162" s="310"/>
      <c r="J162" s="309">
        <f>SUM(DM151:DM161)</f>
        <v>60146</v>
      </c>
      <c r="K162" s="311"/>
      <c r="L162" s="113"/>
      <c r="M162" s="113"/>
      <c r="N162" s="11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x14ac:dyDescent="0.2">
      <c r="A163" s="124"/>
      <c r="B163" s="123"/>
      <c r="C163" s="123" t="s">
        <v>361</v>
      </c>
      <c r="D163" s="123"/>
      <c r="E163" s="123"/>
      <c r="F163" s="123"/>
      <c r="G163" s="123"/>
      <c r="H163" s="312">
        <f>R163</f>
        <v>8111</v>
      </c>
      <c r="I163" s="313"/>
      <c r="J163" s="312" t="e">
        <f>S163</f>
        <v>#REF!</v>
      </c>
      <c r="K163" s="314"/>
      <c r="O163" s="23"/>
      <c r="P163" s="23"/>
      <c r="Q163" s="23"/>
      <c r="R163" s="23">
        <f>SUM(T151:T162)</f>
        <v>8111</v>
      </c>
      <c r="S163" s="23" t="e">
        <f>SUM(U151:U162)</f>
        <v>#REF!</v>
      </c>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f>R163</f>
        <v>8111</v>
      </c>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ht="13.5" thickBot="1" x14ac:dyDescent="0.25">
      <c r="A164" s="78"/>
      <c r="B164" s="77"/>
      <c r="C164" s="77"/>
      <c r="D164" s="77"/>
      <c r="E164" s="77"/>
      <c r="F164" s="77"/>
      <c r="G164" s="77"/>
      <c r="H164" s="306"/>
      <c r="I164" s="307"/>
      <c r="J164" s="306"/>
      <c r="K164" s="308"/>
    </row>
    <row r="165" spans="1:255" x14ac:dyDescent="0.2">
      <c r="A165" s="136"/>
      <c r="B165" s="136"/>
      <c r="C165" s="137" t="s">
        <v>367</v>
      </c>
      <c r="D165" s="137"/>
      <c r="E165" s="137"/>
      <c r="F165" s="137"/>
      <c r="G165" s="137"/>
      <c r="H165" s="137"/>
      <c r="I165" s="138">
        <f>SUM(HA47:HA164)</f>
        <v>67921</v>
      </c>
      <c r="J165" s="137"/>
      <c r="K165" s="138" t="e">
        <f>Source!EJ82</f>
        <v>#REF!</v>
      </c>
      <c r="P165" s="23">
        <f>SUM(R47:R164)</f>
        <v>67921</v>
      </c>
      <c r="Q165" s="23" t="e">
        <f>SUM(S47:S164)</f>
        <v>#REF!</v>
      </c>
      <c r="R165" s="23"/>
      <c r="S165" s="23"/>
      <c r="T165" s="23"/>
      <c r="U165" s="23"/>
      <c r="V165" s="23"/>
      <c r="W165" s="23"/>
    </row>
    <row r="167" spans="1:255" x14ac:dyDescent="0.2">
      <c r="C167" s="140" t="s">
        <v>370</v>
      </c>
      <c r="D167" s="140"/>
      <c r="E167" s="140"/>
      <c r="F167" s="140"/>
      <c r="G167" s="140"/>
      <c r="H167" s="140"/>
      <c r="I167" s="140"/>
      <c r="J167" s="140"/>
      <c r="K167" s="140"/>
    </row>
    <row r="168" spans="1:255" x14ac:dyDescent="0.2">
      <c r="C168" s="13" t="s">
        <v>110</v>
      </c>
      <c r="D168" s="13"/>
      <c r="E168" s="13"/>
      <c r="F168" s="13"/>
      <c r="G168" s="13"/>
      <c r="H168" s="13"/>
      <c r="I168" s="141">
        <f>SUM(GK47:GK164)+SUM(GL47:GL164)+SUM(GQ47:GQ164)+SUM(IA47:IA164)+SUM(HK47:HK164)</f>
        <v>46058</v>
      </c>
      <c r="J168" s="13"/>
      <c r="K168" s="141">
        <f>Source!DK82+Source!DI82+Source!EO82+SUM(DB47:DB164)+SUM(DD47:DD164)</f>
        <v>642292</v>
      </c>
    </row>
    <row r="169" spans="1:255" x14ac:dyDescent="0.2">
      <c r="C169" s="142" t="s">
        <v>370</v>
      </c>
      <c r="D169" s="140"/>
      <c r="E169" s="140"/>
      <c r="F169" s="140"/>
      <c r="G169" s="140"/>
      <c r="H169" s="140"/>
      <c r="I169" s="140"/>
      <c r="J169" s="140"/>
      <c r="K169" s="140"/>
    </row>
    <row r="170" spans="1:255" x14ac:dyDescent="0.2">
      <c r="C170" s="144" t="s">
        <v>371</v>
      </c>
      <c r="D170" s="143"/>
      <c r="E170" s="143"/>
      <c r="F170" s="143"/>
      <c r="G170" s="143"/>
      <c r="H170" s="143"/>
      <c r="I170" s="145">
        <f>SUM(GK47:GK164)</f>
        <v>13638</v>
      </c>
      <c r="J170" s="143"/>
      <c r="K170" s="145">
        <f>Source!DK82</f>
        <v>473686</v>
      </c>
    </row>
    <row r="171" spans="1:255" x14ac:dyDescent="0.2">
      <c r="C171" s="146" t="s">
        <v>372</v>
      </c>
      <c r="D171" s="140"/>
      <c r="E171" s="140"/>
      <c r="F171" s="140"/>
      <c r="G171" s="140"/>
      <c r="H171" s="140"/>
      <c r="I171" s="140"/>
      <c r="J171" s="140"/>
      <c r="K171" s="140"/>
    </row>
    <row r="172" spans="1:255" hidden="1" x14ac:dyDescent="0.2">
      <c r="C172" s="147" t="s">
        <v>373</v>
      </c>
      <c r="D172" s="143"/>
      <c r="E172" s="143"/>
      <c r="F172" s="143"/>
      <c r="G172" s="143"/>
      <c r="H172" s="143"/>
      <c r="I172" s="145">
        <f>SUMIF(DH47:DH164,1001,GK47:GK164)</f>
        <v>0</v>
      </c>
      <c r="J172" s="143"/>
      <c r="K172" s="145">
        <f>SUMIF(DH47:DH164,1001,DG47:DG164)</f>
        <v>0</v>
      </c>
    </row>
    <row r="173" spans="1:255" hidden="1" x14ac:dyDescent="0.2">
      <c r="C173" s="147" t="s">
        <v>374</v>
      </c>
      <c r="D173" s="143"/>
      <c r="E173" s="143"/>
      <c r="F173" s="143"/>
      <c r="G173" s="143"/>
      <c r="H173" s="143"/>
      <c r="I173" s="145">
        <f>SUMIF(DH47:DH164,1002,GK47:GK164)</f>
        <v>0</v>
      </c>
      <c r="J173" s="143"/>
      <c r="K173" s="145">
        <f>SUMIF(DH47:DH164,1002,DG47:DG164)</f>
        <v>0</v>
      </c>
    </row>
    <row r="174" spans="1:255" hidden="1" x14ac:dyDescent="0.2">
      <c r="C174" s="147" t="s">
        <v>375</v>
      </c>
      <c r="D174" s="143"/>
      <c r="E174" s="143"/>
      <c r="F174" s="143"/>
      <c r="G174" s="143"/>
      <c r="H174" s="143"/>
      <c r="I174" s="145">
        <f>SUMIF(DH47:DH164,1003,GK47:GK164)</f>
        <v>0</v>
      </c>
      <c r="J174" s="143"/>
      <c r="K174" s="145">
        <f>SUMIF(DH47:DH164,1003,DG47:DG164)</f>
        <v>0</v>
      </c>
    </row>
    <row r="175" spans="1:255" x14ac:dyDescent="0.2">
      <c r="C175" s="147" t="s">
        <v>376</v>
      </c>
      <c r="D175" s="143"/>
      <c r="E175" s="143"/>
      <c r="F175" s="143"/>
      <c r="G175" s="143"/>
      <c r="H175" s="143"/>
      <c r="I175" s="145">
        <f>SUMIF(DH47:DH164,1004,GK47:GK164)</f>
        <v>515</v>
      </c>
      <c r="J175" s="143"/>
      <c r="K175" s="145">
        <f>SUMIF(DH47:DH164,1004,DG47:DG164)</f>
        <v>19650</v>
      </c>
    </row>
    <row r="176" spans="1:255" hidden="1" x14ac:dyDescent="0.2">
      <c r="C176" s="147" t="s">
        <v>377</v>
      </c>
      <c r="D176" s="143"/>
      <c r="E176" s="143"/>
      <c r="F176" s="143"/>
      <c r="G176" s="143"/>
      <c r="H176" s="143"/>
      <c r="I176" s="145">
        <f>SUMIF(DH47:DH164,1005,GK47:GK164)</f>
        <v>0</v>
      </c>
      <c r="J176" s="143"/>
      <c r="K176" s="145">
        <f>SUMIF(DH47:DH164,1005,DG47:DG164)</f>
        <v>0</v>
      </c>
    </row>
    <row r="177" spans="3:11" hidden="1" x14ac:dyDescent="0.2">
      <c r="C177" s="147" t="s">
        <v>378</v>
      </c>
      <c r="D177" s="143"/>
      <c r="E177" s="143"/>
      <c r="F177" s="143"/>
      <c r="G177" s="143"/>
      <c r="H177" s="143"/>
      <c r="I177" s="145">
        <f>SUMIF(DH47:DH164,1006,GK47:GK164)</f>
        <v>0</v>
      </c>
      <c r="J177" s="143"/>
      <c r="K177" s="145">
        <f>SUMIF(DH47:DH164,1006,DG47:DG164)</f>
        <v>0</v>
      </c>
    </row>
    <row r="178" spans="3:11" hidden="1" x14ac:dyDescent="0.2">
      <c r="C178" s="147" t="s">
        <v>379</v>
      </c>
      <c r="D178" s="143"/>
      <c r="E178" s="143"/>
      <c r="F178" s="143"/>
      <c r="G178" s="143"/>
      <c r="H178" s="143"/>
      <c r="I178" s="145">
        <f>SUMIF(DH47:DH164,1007,GK47:GK164)</f>
        <v>0</v>
      </c>
      <c r="J178" s="143"/>
      <c r="K178" s="145">
        <f>SUMIF(DH47:DH164,1007,DG47:DG164)</f>
        <v>0</v>
      </c>
    </row>
    <row r="179" spans="3:11" hidden="1" x14ac:dyDescent="0.2">
      <c r="C179" s="147" t="s">
        <v>380</v>
      </c>
      <c r="D179" s="143"/>
      <c r="E179" s="143"/>
      <c r="F179" s="143"/>
      <c r="G179" s="143"/>
      <c r="H179" s="143"/>
      <c r="I179" s="145">
        <f>SUMIF(DH47:DH164,1008,GK47:GK164)</f>
        <v>0</v>
      </c>
      <c r="J179" s="143"/>
      <c r="K179" s="145">
        <f>SUMIF(DH47:DH164,1008,DG47:DG164)</f>
        <v>0</v>
      </c>
    </row>
    <row r="180" spans="3:11" x14ac:dyDescent="0.2">
      <c r="C180" s="147" t="s">
        <v>381</v>
      </c>
      <c r="D180" s="143"/>
      <c r="E180" s="143"/>
      <c r="F180" s="143"/>
      <c r="G180" s="143"/>
      <c r="H180" s="143"/>
      <c r="I180" s="145">
        <f>SUMIF(DH47:DH164,1009,GK47:GK164)</f>
        <v>13123</v>
      </c>
      <c r="J180" s="143"/>
      <c r="K180" s="145">
        <f>SUMIF(DH47:DH164,1009,DG47:DG164)</f>
        <v>454036</v>
      </c>
    </row>
    <row r="181" spans="3:11" hidden="1" x14ac:dyDescent="0.2">
      <c r="C181" s="147" t="s">
        <v>382</v>
      </c>
      <c r="D181" s="143"/>
      <c r="E181" s="143"/>
      <c r="F181" s="143"/>
      <c r="G181" s="143"/>
      <c r="H181" s="143"/>
      <c r="I181" s="145">
        <f>SUMIF(DH47:DH164,1010,GK47:GK164)</f>
        <v>0</v>
      </c>
      <c r="J181" s="143"/>
      <c r="K181" s="145">
        <f>SUMIF(DH47:DH164,1010,DG47:DG164)</f>
        <v>0</v>
      </c>
    </row>
    <row r="182" spans="3:11" hidden="1" x14ac:dyDescent="0.2">
      <c r="C182" s="147" t="s">
        <v>383</v>
      </c>
      <c r="D182" s="143"/>
      <c r="E182" s="143"/>
      <c r="F182" s="143"/>
      <c r="G182" s="143"/>
      <c r="H182" s="143"/>
      <c r="I182" s="145">
        <f>SUMIF(DH47:DH164,1011,GK47:GK164)</f>
        <v>0</v>
      </c>
      <c r="J182" s="143"/>
      <c r="K182" s="145">
        <f>SUMIF(DH47:DH164,1011,DG47:DG164)</f>
        <v>0</v>
      </c>
    </row>
    <row r="183" spans="3:11" hidden="1" x14ac:dyDescent="0.2">
      <c r="C183" s="147" t="s">
        <v>384</v>
      </c>
      <c r="D183" s="143"/>
      <c r="E183" s="143"/>
      <c r="F183" s="143"/>
      <c r="G183" s="143"/>
      <c r="H183" s="143"/>
      <c r="I183" s="145">
        <f>SUMIF(DH47:DH164,1012,GK47:GK164)</f>
        <v>0</v>
      </c>
      <c r="J183" s="143"/>
      <c r="K183" s="145">
        <f>SUMIF(DH47:DH164,1012,DG47:DG164)</f>
        <v>0</v>
      </c>
    </row>
    <row r="184" spans="3:11" hidden="1" x14ac:dyDescent="0.2">
      <c r="C184" s="147" t="s">
        <v>385</v>
      </c>
      <c r="D184" s="143"/>
      <c r="E184" s="143"/>
      <c r="F184" s="143"/>
      <c r="G184" s="143"/>
      <c r="H184" s="143"/>
      <c r="I184" s="145">
        <f>SUMIF(DH47:DH164,1013,GK47:GK164)</f>
        <v>0</v>
      </c>
      <c r="J184" s="143"/>
      <c r="K184" s="145">
        <f>SUMIF(DH47:DH164,1013,DG47:DG164)</f>
        <v>0</v>
      </c>
    </row>
    <row r="185" spans="3:11" hidden="1" x14ac:dyDescent="0.2">
      <c r="C185" s="147" t="s">
        <v>386</v>
      </c>
      <c r="D185" s="143"/>
      <c r="E185" s="143"/>
      <c r="F185" s="143"/>
      <c r="G185" s="143"/>
      <c r="H185" s="143"/>
      <c r="I185" s="145">
        <f>SUMIF(DH47:DH164,1014,GK47:GK164)</f>
        <v>0</v>
      </c>
      <c r="J185" s="143"/>
      <c r="K185" s="145">
        <f>SUMIF(DH47:DH164,1014,DG47:DG164)</f>
        <v>0</v>
      </c>
    </row>
    <row r="186" spans="3:11" hidden="1" x14ac:dyDescent="0.2">
      <c r="C186" s="147" t="s">
        <v>387</v>
      </c>
      <c r="D186" s="143"/>
      <c r="E186" s="143"/>
      <c r="F186" s="143"/>
      <c r="G186" s="143"/>
      <c r="H186" s="143"/>
      <c r="I186" s="145">
        <f>SUMIF(DH47:DH164,1015,GK47:GK164)</f>
        <v>0</v>
      </c>
      <c r="J186" s="143"/>
      <c r="K186" s="145">
        <f>SUMIF(DH47:DH164,1015,DG47:DG164)</f>
        <v>0</v>
      </c>
    </row>
    <row r="187" spans="3:11" hidden="1" x14ac:dyDescent="0.2">
      <c r="C187" s="147" t="s">
        <v>388</v>
      </c>
      <c r="D187" s="143"/>
      <c r="E187" s="143"/>
      <c r="F187" s="143"/>
      <c r="G187" s="143"/>
      <c r="H187" s="143"/>
      <c r="I187" s="145">
        <f>SUMIF(DH47:DH164,1,GK47:GK164)</f>
        <v>0</v>
      </c>
      <c r="J187" s="143"/>
      <c r="K187" s="145">
        <f>SUMIF(DH47:DH164,1,DG47:DG164)</f>
        <v>0</v>
      </c>
    </row>
    <row r="188" spans="3:11" x14ac:dyDescent="0.2">
      <c r="C188" s="149" t="s">
        <v>389</v>
      </c>
      <c r="D188" s="148"/>
      <c r="E188" s="148"/>
      <c r="F188" s="148"/>
      <c r="G188" s="148"/>
      <c r="H188" s="148"/>
      <c r="I188" s="150">
        <f>SUM(GL47:GL164)</f>
        <v>711</v>
      </c>
      <c r="J188" s="148"/>
      <c r="K188" s="150">
        <f>Source!DI82</f>
        <v>9086</v>
      </c>
    </row>
    <row r="189" spans="3:11" x14ac:dyDescent="0.2">
      <c r="C189" s="146" t="s">
        <v>370</v>
      </c>
      <c r="D189" s="140"/>
      <c r="E189" s="140"/>
      <c r="F189" s="140"/>
      <c r="G189" s="140"/>
      <c r="H189" s="140"/>
      <c r="I189" s="140"/>
      <c r="J189" s="140"/>
      <c r="K189" s="140"/>
    </row>
    <row r="190" spans="3:11" x14ac:dyDescent="0.2">
      <c r="C190" s="151" t="s">
        <v>390</v>
      </c>
      <c r="D190" s="148"/>
      <c r="E190" s="148"/>
      <c r="F190" s="148"/>
      <c r="G190" s="148"/>
      <c r="H190" s="148"/>
      <c r="I190" s="150">
        <f>SUM(GM47:GM164)</f>
        <v>27</v>
      </c>
      <c r="J190" s="148"/>
      <c r="K190" s="150">
        <f>Source!DJ82</f>
        <v>768</v>
      </c>
    </row>
    <row r="191" spans="3:11" x14ac:dyDescent="0.2">
      <c r="C191" s="152" t="s">
        <v>391</v>
      </c>
      <c r="D191" s="113"/>
      <c r="E191" s="113"/>
      <c r="F191" s="113"/>
      <c r="G191" s="113"/>
      <c r="H191" s="113"/>
      <c r="I191" s="153">
        <f>SUM(GQ47:GQ164)+SUM(IA47:IA164)</f>
        <v>31709</v>
      </c>
      <c r="J191" s="113"/>
      <c r="K191" s="153">
        <f>Source!EO82+SUM(DB47:DB164)</f>
        <v>159520</v>
      </c>
    </row>
    <row r="192" spans="3:11" hidden="1" x14ac:dyDescent="0.2">
      <c r="C192" s="154" t="s">
        <v>370</v>
      </c>
      <c r="D192" s="113"/>
      <c r="E192" s="113"/>
      <c r="F192" s="113"/>
      <c r="G192" s="113"/>
      <c r="H192" s="113"/>
      <c r="I192" s="153"/>
      <c r="J192" s="113"/>
      <c r="K192" s="153"/>
    </row>
    <row r="193" spans="1:11" hidden="1" x14ac:dyDescent="0.2">
      <c r="C193" s="155" t="s">
        <v>392</v>
      </c>
      <c r="D193" s="113"/>
      <c r="E193" s="113"/>
      <c r="F193" s="113"/>
      <c r="G193" s="113"/>
      <c r="H193" s="113"/>
      <c r="I193" s="153">
        <f>SUM(GQ47:GQ164)</f>
        <v>31709</v>
      </c>
      <c r="J193" s="113"/>
      <c r="K193" s="153">
        <f>Source!EO82</f>
        <v>159520</v>
      </c>
    </row>
    <row r="194" spans="1:11" hidden="1" x14ac:dyDescent="0.2">
      <c r="C194" s="156" t="s">
        <v>393</v>
      </c>
      <c r="D194" s="113"/>
      <c r="E194" s="113"/>
      <c r="F194" s="113"/>
      <c r="G194" s="113"/>
      <c r="H194" s="113"/>
      <c r="I194" s="153">
        <f>SUM(GR47:GR164)</f>
        <v>0</v>
      </c>
      <c r="J194" s="113"/>
      <c r="K194" s="153">
        <f>Source!EP82</f>
        <v>0</v>
      </c>
    </row>
    <row r="195" spans="1:11" hidden="1" x14ac:dyDescent="0.2">
      <c r="C195" s="156" t="s">
        <v>394</v>
      </c>
      <c r="D195" s="113"/>
      <c r="E195" s="113"/>
      <c r="F195" s="113"/>
      <c r="G195" s="113"/>
      <c r="H195" s="113"/>
      <c r="I195" s="153">
        <f>SUM(GS47:GS164)</f>
        <v>31709</v>
      </c>
      <c r="J195" s="113"/>
      <c r="K195" s="153">
        <f>Source!EQ82</f>
        <v>159520</v>
      </c>
    </row>
    <row r="196" spans="1:11" hidden="1" x14ac:dyDescent="0.2">
      <c r="C196" s="155" t="s">
        <v>395</v>
      </c>
      <c r="D196" s="113"/>
      <c r="E196" s="113"/>
      <c r="F196" s="113"/>
      <c r="G196" s="113"/>
      <c r="H196" s="113"/>
      <c r="I196" s="153">
        <f>SUM(IA47:IA164)</f>
        <v>0</v>
      </c>
      <c r="J196" s="113"/>
      <c r="K196" s="153">
        <f>SUM(DB47:DB164)</f>
        <v>0</v>
      </c>
    </row>
    <row r="197" spans="1:11" hidden="1" x14ac:dyDescent="0.2">
      <c r="C197" s="157" t="s">
        <v>396</v>
      </c>
      <c r="D197" s="139"/>
      <c r="E197" s="139"/>
      <c r="F197" s="139"/>
      <c r="G197" s="139"/>
      <c r="H197" s="139"/>
      <c r="I197" s="158">
        <f>SUM(HK47:HK164)</f>
        <v>0</v>
      </c>
      <c r="J197" s="139"/>
      <c r="K197" s="158">
        <f>SUM(DD47:DD164)</f>
        <v>0</v>
      </c>
    </row>
    <row r="199" spans="1:11" x14ac:dyDescent="0.2">
      <c r="C199" s="143" t="s">
        <v>397</v>
      </c>
      <c r="D199" s="143"/>
      <c r="E199" s="143"/>
      <c r="F199" s="143"/>
      <c r="G199" s="143"/>
      <c r="H199" s="143"/>
      <c r="I199" s="145">
        <f>SUM(GK47:GK164)+SUM(GM47:GM164)</f>
        <v>13665</v>
      </c>
      <c r="J199" s="143"/>
      <c r="K199" s="145">
        <f>Source!DK82+Source!DJ82</f>
        <v>474454</v>
      </c>
    </row>
    <row r="201" spans="1:11" x14ac:dyDescent="0.2">
      <c r="A201" s="159"/>
      <c r="B201" s="159"/>
      <c r="C201" s="159" t="s">
        <v>398</v>
      </c>
      <c r="D201" s="159"/>
      <c r="E201" s="159"/>
      <c r="F201" s="159"/>
      <c r="G201" s="159"/>
      <c r="H201" s="159"/>
      <c r="I201" s="160">
        <f>SUM(GY47:GY164)</f>
        <v>14348</v>
      </c>
      <c r="J201" s="159"/>
      <c r="K201" s="160" t="e">
        <f>Source!DP82</f>
        <v>#REF!</v>
      </c>
    </row>
    <row r="202" spans="1:11" x14ac:dyDescent="0.2">
      <c r="A202" s="159"/>
      <c r="B202" s="159"/>
      <c r="C202" s="159" t="s">
        <v>399</v>
      </c>
      <c r="D202" s="159"/>
      <c r="E202" s="159"/>
      <c r="F202" s="159"/>
      <c r="G202" s="159"/>
      <c r="H202" s="159"/>
      <c r="I202" s="160">
        <f>SUM(GZ47:GZ164)</f>
        <v>7515</v>
      </c>
      <c r="J202" s="159"/>
      <c r="K202" s="160" t="e">
        <f>Source!DQ82</f>
        <v>#REF!</v>
      </c>
    </row>
    <row r="204" spans="1:11" hidden="1" x14ac:dyDescent="0.2">
      <c r="C204" s="161" t="s">
        <v>400</v>
      </c>
      <c r="D204" s="161"/>
      <c r="E204" s="161"/>
      <c r="F204" s="161"/>
      <c r="G204" s="161"/>
      <c r="H204" s="161"/>
      <c r="I204" s="162">
        <f>SUM(GT47:GT164)+SUM(IB47:IB164)</f>
        <v>0</v>
      </c>
      <c r="J204" s="161"/>
      <c r="K204" s="162">
        <f>Source!EH82+SUM(DC47:DC164)</f>
        <v>0</v>
      </c>
    </row>
    <row r="205" spans="1:11" hidden="1" x14ac:dyDescent="0.2">
      <c r="C205" s="163" t="s">
        <v>370</v>
      </c>
      <c r="D205" s="164"/>
      <c r="E205" s="164"/>
      <c r="F205" s="164"/>
      <c r="G205" s="164"/>
      <c r="H205" s="164"/>
      <c r="I205" s="164"/>
      <c r="J205" s="164"/>
      <c r="K205" s="164"/>
    </row>
    <row r="206" spans="1:11" hidden="1" x14ac:dyDescent="0.2">
      <c r="C206" s="165" t="s">
        <v>401</v>
      </c>
      <c r="D206" s="161"/>
      <c r="E206" s="161"/>
      <c r="F206" s="161"/>
      <c r="G206" s="161"/>
      <c r="H206" s="161"/>
      <c r="I206" s="162">
        <f>SUM(GT47:GT164)</f>
        <v>0</v>
      </c>
      <c r="J206" s="161"/>
      <c r="K206" s="162">
        <f>Source!EH82</f>
        <v>0</v>
      </c>
    </row>
    <row r="207" spans="1:11" hidden="1" x14ac:dyDescent="0.2">
      <c r="C207" s="166" t="s">
        <v>402</v>
      </c>
      <c r="D207" s="161"/>
      <c r="E207" s="161"/>
      <c r="F207" s="161"/>
      <c r="G207" s="161"/>
      <c r="H207" s="161"/>
      <c r="I207" s="162">
        <f>SUM(GU47:GU164)</f>
        <v>0</v>
      </c>
      <c r="J207" s="161"/>
      <c r="K207" s="162">
        <f>Source!EI82</f>
        <v>0</v>
      </c>
    </row>
    <row r="208" spans="1:11" hidden="1" x14ac:dyDescent="0.2">
      <c r="C208" s="166" t="s">
        <v>403</v>
      </c>
      <c r="D208" s="161"/>
      <c r="E208" s="161"/>
      <c r="F208" s="161"/>
      <c r="G208" s="161"/>
      <c r="H208" s="161"/>
      <c r="I208" s="162">
        <f>SUM(GV47:GV164)</f>
        <v>0</v>
      </c>
      <c r="J208" s="161"/>
      <c r="K208" s="162">
        <f>Source!ER82</f>
        <v>0</v>
      </c>
    </row>
    <row r="209" spans="3:11" hidden="1" x14ac:dyDescent="0.2">
      <c r="C209" s="165" t="s">
        <v>404</v>
      </c>
      <c r="D209" s="161"/>
      <c r="E209" s="161"/>
      <c r="F209" s="161"/>
      <c r="G209" s="161"/>
      <c r="H209" s="161"/>
      <c r="I209" s="162">
        <f>SUM(IB47:IB164)</f>
        <v>0</v>
      </c>
      <c r="J209" s="161"/>
      <c r="K209" s="162">
        <f>SUM(DC47:DC164)</f>
        <v>0</v>
      </c>
    </row>
    <row r="211" spans="3:11" x14ac:dyDescent="0.2">
      <c r="C211" s="13" t="s">
        <v>405</v>
      </c>
      <c r="D211" s="13"/>
      <c r="E211" s="13"/>
      <c r="F211" s="13"/>
      <c r="G211" s="13"/>
      <c r="H211" s="13"/>
      <c r="I211" s="141">
        <f>SUM(HA47:HA164)</f>
        <v>67921</v>
      </c>
      <c r="J211" s="13"/>
      <c r="K211" s="141" t="e">
        <f>Source!EJ82</f>
        <v>#REF!</v>
      </c>
    </row>
    <row r="212" spans="3:11" x14ac:dyDescent="0.2">
      <c r="C212" s="142" t="s">
        <v>406</v>
      </c>
      <c r="D212" s="140"/>
      <c r="E212" s="140"/>
      <c r="F212" s="140"/>
      <c r="G212" s="140"/>
      <c r="H212" s="140"/>
      <c r="I212" s="140"/>
      <c r="J212" s="140"/>
      <c r="K212" s="140"/>
    </row>
    <row r="213" spans="3:11" hidden="1" x14ac:dyDescent="0.2">
      <c r="C213" s="167" t="s">
        <v>407</v>
      </c>
      <c r="D213" s="13"/>
      <c r="E213" s="13"/>
      <c r="F213" s="13"/>
      <c r="G213" s="13"/>
      <c r="H213" s="13"/>
      <c r="I213" s="141">
        <f>SUM(HB47:HB164)</f>
        <v>67921</v>
      </c>
      <c r="J213" s="13"/>
      <c r="K213" s="141" t="e">
        <f>Source!EK82</f>
        <v>#REF!</v>
      </c>
    </row>
    <row r="214" spans="3:11" hidden="1" x14ac:dyDescent="0.2">
      <c r="C214" s="167" t="s">
        <v>408</v>
      </c>
      <c r="D214" s="13"/>
      <c r="E214" s="13"/>
      <c r="F214" s="13"/>
      <c r="G214" s="13"/>
      <c r="H214" s="13"/>
      <c r="I214" s="141">
        <f>SUM(HC47:HC164)</f>
        <v>0</v>
      </c>
      <c r="J214" s="13"/>
      <c r="K214" s="141">
        <f>Source!EL82</f>
        <v>0</v>
      </c>
    </row>
    <row r="215" spans="3:11" hidden="1" x14ac:dyDescent="0.2">
      <c r="C215" s="165" t="s">
        <v>409</v>
      </c>
      <c r="D215" s="161"/>
      <c r="E215" s="161"/>
      <c r="F215" s="161"/>
      <c r="G215" s="161"/>
      <c r="H215" s="161"/>
      <c r="I215" s="162">
        <f>SUM(HD47:HD164)</f>
        <v>0</v>
      </c>
      <c r="J215" s="161"/>
      <c r="K215" s="162">
        <f>Source!EH82+SUM(DC47:DC164)</f>
        <v>0</v>
      </c>
    </row>
    <row r="216" spans="3:11" hidden="1" x14ac:dyDescent="0.2">
      <c r="C216" s="167" t="s">
        <v>143</v>
      </c>
      <c r="D216" s="13"/>
      <c r="E216" s="13"/>
      <c r="F216" s="13"/>
      <c r="G216" s="13"/>
      <c r="H216" s="13"/>
      <c r="I216" s="141">
        <f>SUM(HE47:HE164)</f>
        <v>0</v>
      </c>
      <c r="J216" s="13"/>
      <c r="K216" s="141">
        <f>Source!EM82</f>
        <v>0</v>
      </c>
    </row>
    <row r="218" spans="3:11" x14ac:dyDescent="0.2">
      <c r="C218" s="13" t="s">
        <v>410</v>
      </c>
      <c r="D218" s="13"/>
      <c r="E218" s="13"/>
      <c r="F218" s="13"/>
      <c r="G218" s="13"/>
      <c r="H218" s="13"/>
      <c r="I218" s="141">
        <f>SUM(HB47:HB164)+SUM(HC47:HC164)</f>
        <v>67921</v>
      </c>
      <c r="J218" s="13"/>
      <c r="K218" s="141" t="e">
        <f>Source!EK82+Source!EL82</f>
        <v>#REF!</v>
      </c>
    </row>
    <row r="219" spans="3:11" x14ac:dyDescent="0.2">
      <c r="C219" s="13" t="s">
        <v>411</v>
      </c>
      <c r="D219" s="13"/>
      <c r="E219" s="13"/>
      <c r="F219" s="13"/>
      <c r="G219" s="13"/>
      <c r="H219" s="13"/>
      <c r="I219" s="13"/>
      <c r="J219" s="13"/>
      <c r="K219" s="13"/>
    </row>
    <row r="220" spans="3:11" x14ac:dyDescent="0.2">
      <c r="C220" s="13" t="s">
        <v>412</v>
      </c>
      <c r="D220" s="13"/>
      <c r="E220" s="24">
        <v>1.9550000000000001</v>
      </c>
      <c r="F220" s="168" t="s">
        <v>352</v>
      </c>
      <c r="G220" s="13"/>
      <c r="H220" s="13"/>
      <c r="I220" s="141">
        <f>ROUND(I218*E220/100,0)</f>
        <v>1328</v>
      </c>
      <c r="J220" s="13"/>
      <c r="K220" s="141" t="e">
        <f>ROUND(K218*E220/100,0)</f>
        <v>#REF!</v>
      </c>
    </row>
    <row r="221" spans="3:11" x14ac:dyDescent="0.2">
      <c r="C221" s="13" t="s">
        <v>413</v>
      </c>
      <c r="D221" s="13"/>
      <c r="E221" s="13"/>
      <c r="F221" s="13"/>
      <c r="G221" s="13"/>
      <c r="H221" s="13"/>
      <c r="I221" s="141">
        <f>I220+I218</f>
        <v>69249</v>
      </c>
      <c r="J221" s="13"/>
      <c r="K221" s="141" t="e">
        <f>K220+K218</f>
        <v>#REF!</v>
      </c>
    </row>
    <row r="223" spans="3:11" x14ac:dyDescent="0.2">
      <c r="C223" s="25" t="s">
        <v>161</v>
      </c>
      <c r="D223" s="25"/>
      <c r="E223" s="25"/>
      <c r="F223" s="25"/>
      <c r="G223" s="25"/>
      <c r="H223" s="25"/>
      <c r="I223" s="169">
        <f>I221+SUM(HD47:HD164)+SUM(HE47:HE164)</f>
        <v>69249</v>
      </c>
      <c r="J223" s="25"/>
      <c r="K223" s="169" t="e">
        <f>K221+Source!EH82+SUM(DC47:DC164)+Source!EM82</f>
        <v>#REF!</v>
      </c>
    </row>
    <row r="224" spans="3:11" x14ac:dyDescent="0.2">
      <c r="C224" s="13" t="s">
        <v>414</v>
      </c>
      <c r="D224" s="13"/>
      <c r="E224" s="24">
        <v>20</v>
      </c>
      <c r="F224" s="168" t="s">
        <v>352</v>
      </c>
      <c r="G224" s="13"/>
      <c r="H224" s="13"/>
      <c r="I224" s="13"/>
      <c r="J224" s="13"/>
      <c r="K224" s="170" t="e">
        <f>ROUND(K223*E224/100,2)</f>
        <v>#REF!</v>
      </c>
    </row>
    <row r="225" spans="1:255" x14ac:dyDescent="0.2">
      <c r="C225" s="25" t="s">
        <v>415</v>
      </c>
      <c r="D225" s="25"/>
      <c r="E225" s="25"/>
      <c r="F225" s="25"/>
      <c r="G225" s="25"/>
      <c r="H225" s="25"/>
      <c r="I225" s="25"/>
      <c r="J225" s="25"/>
      <c r="K225" s="171" t="e">
        <f>K224+K223</f>
        <v>#REF!</v>
      </c>
    </row>
    <row r="227" spans="1:255" x14ac:dyDescent="0.2">
      <c r="C227" s="140" t="s">
        <v>416</v>
      </c>
      <c r="D227" s="140"/>
      <c r="E227" s="140"/>
      <c r="F227" s="140"/>
      <c r="G227" s="140"/>
      <c r="H227" s="140"/>
      <c r="I227" s="140"/>
      <c r="J227" s="140"/>
      <c r="K227" s="140"/>
    </row>
    <row r="228" spans="1:255" hidden="1" x14ac:dyDescent="0.2">
      <c r="C228" s="172" t="s">
        <v>417</v>
      </c>
      <c r="D228" s="13"/>
      <c r="E228" s="13"/>
      <c r="F228" s="13"/>
      <c r="G228" s="13"/>
      <c r="H228" s="13"/>
      <c r="I228" s="141">
        <f>SUM(GN47:GN164)+SUM(IA47:IA164)+SUM(IB47:IB164)</f>
        <v>31709</v>
      </c>
      <c r="J228" s="13"/>
      <c r="K228" s="141">
        <f>Source!DH82+SUM(DB47:DB164)+SUM(DC47:DC164)</f>
        <v>159520</v>
      </c>
    </row>
    <row r="229" spans="1:255" hidden="1" x14ac:dyDescent="0.2">
      <c r="C229" s="142" t="s">
        <v>370</v>
      </c>
      <c r="D229" s="140"/>
      <c r="E229" s="140"/>
      <c r="F229" s="140"/>
      <c r="G229" s="140"/>
      <c r="H229" s="140"/>
      <c r="I229" s="140"/>
      <c r="J229" s="140"/>
      <c r="K229" s="140"/>
    </row>
    <row r="230" spans="1:255" hidden="1" x14ac:dyDescent="0.2">
      <c r="C230" s="167" t="s">
        <v>418</v>
      </c>
      <c r="D230" s="13"/>
      <c r="E230" s="13"/>
      <c r="F230" s="13"/>
      <c r="G230" s="13"/>
      <c r="H230" s="13"/>
      <c r="I230" s="141">
        <f>SUM(GO47:GO164)</f>
        <v>0</v>
      </c>
      <c r="J230" s="13"/>
      <c r="K230" s="141">
        <f>Source!EG82</f>
        <v>0</v>
      </c>
    </row>
    <row r="231" spans="1:255" hidden="1" x14ac:dyDescent="0.2">
      <c r="C231" s="167" t="s">
        <v>419</v>
      </c>
      <c r="D231" s="13"/>
      <c r="E231" s="13"/>
      <c r="F231" s="13"/>
      <c r="G231" s="13"/>
      <c r="H231" s="13"/>
      <c r="I231" s="141">
        <f>SUM(GP47:GP164)</f>
        <v>31709</v>
      </c>
      <c r="J231" s="13"/>
      <c r="K231" s="141">
        <f>Source!EN82</f>
        <v>159520</v>
      </c>
    </row>
    <row r="232" spans="1:255" x14ac:dyDescent="0.2">
      <c r="C232" s="172" t="s">
        <v>420</v>
      </c>
      <c r="D232" s="13"/>
      <c r="E232" s="13"/>
      <c r="F232" s="13"/>
      <c r="G232" s="13"/>
      <c r="H232" s="170" t="e">
        <f>Source!DM82</f>
        <v>#REF!</v>
      </c>
      <c r="I232" s="13"/>
      <c r="J232" s="13"/>
      <c r="K232" s="13"/>
    </row>
    <row r="233" spans="1:255" x14ac:dyDescent="0.2">
      <c r="C233" s="172" t="s">
        <v>152</v>
      </c>
      <c r="D233" s="13"/>
      <c r="E233" s="13"/>
      <c r="F233" s="13"/>
      <c r="G233" s="13"/>
      <c r="H233" s="170">
        <f>Source!DN82</f>
        <v>2.3105000000000007</v>
      </c>
      <c r="I233" s="13"/>
      <c r="J233" s="13"/>
      <c r="K233" s="13"/>
    </row>
    <row r="234" spans="1:255" hidden="1" outlineLevel="1" x14ac:dyDescent="0.2"/>
    <row r="235" spans="1:255" hidden="1" outlineLevel="1" x14ac:dyDescent="0.2"/>
    <row r="236" spans="1:255" hidden="1" outlineLevel="1" x14ac:dyDescent="0.2">
      <c r="A236" s="173" t="s">
        <v>421</v>
      </c>
      <c r="B236" s="173"/>
      <c r="C236" s="252"/>
      <c r="D236" s="252"/>
      <c r="E236" s="252"/>
      <c r="F236" s="252"/>
      <c r="G236" s="174"/>
      <c r="H236" s="174"/>
      <c r="I236" s="252"/>
      <c r="J236" s="252"/>
      <c r="BY236" s="175">
        <f>C236</f>
        <v>0</v>
      </c>
      <c r="BZ236" s="175">
        <f>I236</f>
        <v>0</v>
      </c>
      <c r="IU236" s="23"/>
    </row>
    <row r="237" spans="1:255" s="177" customFormat="1" ht="11.25" hidden="1" outlineLevel="1" x14ac:dyDescent="0.2">
      <c r="A237" s="176"/>
      <c r="B237" s="176"/>
      <c r="C237" s="305" t="s">
        <v>422</v>
      </c>
      <c r="D237" s="305"/>
      <c r="E237" s="305"/>
      <c r="F237" s="305"/>
      <c r="G237" s="305"/>
      <c r="H237" s="305"/>
      <c r="I237" s="305" t="s">
        <v>423</v>
      </c>
      <c r="J237" s="305"/>
    </row>
    <row r="238" spans="1:255" hidden="1" outlineLevel="1" x14ac:dyDescent="0.2">
      <c r="A238" s="18"/>
      <c r="B238" s="18"/>
      <c r="C238" s="18"/>
      <c r="D238" s="18"/>
      <c r="E238" s="18"/>
      <c r="F238" s="18"/>
      <c r="G238" s="11" t="s">
        <v>424</v>
      </c>
      <c r="H238" s="18"/>
      <c r="I238" s="18"/>
      <c r="J238" s="18"/>
    </row>
    <row r="239" spans="1:255" hidden="1" outlineLevel="1" x14ac:dyDescent="0.2">
      <c r="A239" s="173" t="s">
        <v>425</v>
      </c>
      <c r="B239" s="173"/>
      <c r="C239" s="252"/>
      <c r="D239" s="252"/>
      <c r="E239" s="252"/>
      <c r="F239" s="252"/>
      <c r="G239" s="174"/>
      <c r="H239" s="174"/>
      <c r="I239" s="252"/>
      <c r="J239" s="252"/>
      <c r="BY239" s="175">
        <f>C239</f>
        <v>0</v>
      </c>
      <c r="BZ239" s="175">
        <f>I239</f>
        <v>0</v>
      </c>
      <c r="IU239" s="23"/>
    </row>
    <row r="240" spans="1:255" s="177" customFormat="1" ht="11.25" hidden="1" outlineLevel="1" x14ac:dyDescent="0.2">
      <c r="A240" s="176"/>
      <c r="B240" s="176"/>
      <c r="C240" s="305" t="s">
        <v>422</v>
      </c>
      <c r="D240" s="305"/>
      <c r="E240" s="305"/>
      <c r="F240" s="305"/>
      <c r="G240" s="305"/>
      <c r="H240" s="305"/>
      <c r="I240" s="305" t="s">
        <v>423</v>
      </c>
      <c r="J240" s="305"/>
    </row>
    <row r="241" spans="1:255" hidden="1" outlineLevel="1" x14ac:dyDescent="0.2">
      <c r="A241" s="18"/>
      <c r="B241" s="18"/>
      <c r="C241" s="18"/>
      <c r="D241" s="18"/>
      <c r="E241" s="18"/>
      <c r="F241" s="18"/>
      <c r="G241" s="11" t="s">
        <v>424</v>
      </c>
      <c r="H241" s="18"/>
      <c r="I241" s="18"/>
      <c r="J241" s="18"/>
    </row>
    <row r="242" spans="1:255" collapsed="1" x14ac:dyDescent="0.2"/>
    <row r="243" spans="1:255" outlineLevel="1" x14ac:dyDescent="0.2"/>
    <row r="244" spans="1:255" outlineLevel="1" x14ac:dyDescent="0.2"/>
    <row r="245" spans="1:255" outlineLevel="1" x14ac:dyDescent="0.2">
      <c r="A245" s="173" t="s">
        <v>300</v>
      </c>
      <c r="B245" s="173"/>
      <c r="C245" s="252" t="s">
        <v>426</v>
      </c>
      <c r="D245" s="252"/>
      <c r="E245" s="252"/>
      <c r="F245" s="252"/>
      <c r="G245" s="174"/>
      <c r="H245" s="174"/>
      <c r="I245" s="252" t="s">
        <v>427</v>
      </c>
      <c r="J245" s="252"/>
      <c r="BY245" s="175" t="str">
        <f>C245</f>
        <v>Руководитель ПТС ООО "ОСУ-2"</v>
      </c>
      <c r="BZ245" s="175" t="str">
        <f>I245</f>
        <v>В.И.Когтев</v>
      </c>
      <c r="IU245" s="23"/>
    </row>
    <row r="246" spans="1:255" s="177" customFormat="1" ht="11.25" outlineLevel="1" x14ac:dyDescent="0.2">
      <c r="A246" s="176"/>
      <c r="B246" s="176"/>
      <c r="C246" s="305" t="s">
        <v>422</v>
      </c>
      <c r="D246" s="305"/>
      <c r="E246" s="305"/>
      <c r="F246" s="305"/>
      <c r="G246" s="305"/>
      <c r="H246" s="305"/>
      <c r="I246" s="305" t="s">
        <v>423</v>
      </c>
      <c r="J246" s="305"/>
    </row>
    <row r="247" spans="1:255" outlineLevel="1" x14ac:dyDescent="0.2">
      <c r="A247" s="18"/>
      <c r="B247" s="18"/>
      <c r="C247" s="18"/>
      <c r="D247" s="18"/>
      <c r="E247" s="18"/>
      <c r="F247" s="18"/>
      <c r="G247" s="11" t="s">
        <v>424</v>
      </c>
      <c r="H247" s="18"/>
      <c r="I247" s="18"/>
      <c r="J247" s="18"/>
    </row>
    <row r="248" spans="1:255" outlineLevel="1" x14ac:dyDescent="0.2">
      <c r="A248" s="173" t="s">
        <v>428</v>
      </c>
      <c r="B248" s="173"/>
      <c r="C248" s="252" t="s">
        <v>429</v>
      </c>
      <c r="D248" s="252"/>
      <c r="E248" s="252"/>
      <c r="F248" s="252"/>
      <c r="G248" s="174"/>
      <c r="H248" s="174"/>
      <c r="I248" s="252" t="s">
        <v>430</v>
      </c>
      <c r="J248" s="252"/>
      <c r="K248" s="31">
        <v>45882</v>
      </c>
      <c r="BY248" s="175" t="str">
        <f>C248</f>
        <v>Главный инженер-сметчик СРС ООО "ОДСК-Инжиниринг"</v>
      </c>
      <c r="BZ248" s="175" t="str">
        <f>I248</f>
        <v>И.В.Шеверева</v>
      </c>
      <c r="IU248" s="23"/>
    </row>
    <row r="249" spans="1:255" s="177" customFormat="1" ht="11.25" outlineLevel="1" x14ac:dyDescent="0.2">
      <c r="A249" s="176"/>
      <c r="B249" s="176"/>
      <c r="C249" s="305" t="s">
        <v>422</v>
      </c>
      <c r="D249" s="305"/>
      <c r="E249" s="305"/>
      <c r="F249" s="305"/>
      <c r="G249" s="305"/>
      <c r="H249" s="305"/>
      <c r="I249" s="305" t="s">
        <v>423</v>
      </c>
      <c r="J249" s="305"/>
    </row>
    <row r="250" spans="1:255" outlineLevel="1" x14ac:dyDescent="0.2">
      <c r="A250" s="18"/>
      <c r="B250" s="18"/>
      <c r="C250" s="18"/>
      <c r="D250" s="18"/>
      <c r="E250" s="18"/>
      <c r="F250" s="18"/>
      <c r="G250" s="11" t="s">
        <v>424</v>
      </c>
      <c r="H250" s="18"/>
      <c r="I250" s="18"/>
      <c r="J250" s="18"/>
    </row>
    <row r="251" spans="1:255" outlineLevel="1" x14ac:dyDescent="0.2">
      <c r="A251" s="173" t="s">
        <v>431</v>
      </c>
      <c r="B251" s="173"/>
      <c r="C251" s="252"/>
      <c r="D251" s="252"/>
      <c r="E251" s="252"/>
      <c r="F251" s="252"/>
      <c r="G251" s="174"/>
      <c r="H251" s="174"/>
      <c r="I251" s="252"/>
      <c r="J251" s="252"/>
      <c r="BY251" s="175">
        <f>C251</f>
        <v>0</v>
      </c>
      <c r="BZ251" s="175">
        <f>I251</f>
        <v>0</v>
      </c>
      <c r="IU251" s="23"/>
    </row>
    <row r="252" spans="1:255" s="177" customFormat="1" ht="11.25" outlineLevel="1" x14ac:dyDescent="0.2">
      <c r="A252" s="176"/>
      <c r="B252" s="176"/>
      <c r="C252" s="305" t="s">
        <v>422</v>
      </c>
      <c r="D252" s="305"/>
      <c r="E252" s="305"/>
      <c r="F252" s="305"/>
      <c r="G252" s="305"/>
      <c r="H252" s="305"/>
      <c r="I252" s="305" t="s">
        <v>423</v>
      </c>
      <c r="J252" s="305"/>
    </row>
    <row r="253" spans="1:255" outlineLevel="1" x14ac:dyDescent="0.2">
      <c r="A253" s="18"/>
      <c r="B253" s="18"/>
      <c r="C253" s="18"/>
      <c r="D253" s="18"/>
      <c r="E253" s="18"/>
      <c r="F253" s="18"/>
      <c r="G253" s="11" t="s">
        <v>424</v>
      </c>
      <c r="H253" s="18"/>
      <c r="I253" s="18"/>
      <c r="J253" s="18"/>
    </row>
    <row r="255" spans="1:255" x14ac:dyDescent="0.2">
      <c r="A255" s="31"/>
      <c r="B255" s="31"/>
    </row>
  </sheetData>
  <mergeCells count="113">
    <mergeCell ref="H2:K2"/>
    <mergeCell ref="H3:K3"/>
    <mergeCell ref="H4:K4"/>
    <mergeCell ref="J5:K5"/>
    <mergeCell ref="J6:K6"/>
    <mergeCell ref="C7:G7"/>
    <mergeCell ref="J7:K7"/>
    <mergeCell ref="C11:G11"/>
    <mergeCell ref="J11:K11"/>
    <mergeCell ref="C12:G12"/>
    <mergeCell ref="J12:K12"/>
    <mergeCell ref="C13:G13"/>
    <mergeCell ref="J13:K13"/>
    <mergeCell ref="C8:G8"/>
    <mergeCell ref="J8:K8"/>
    <mergeCell ref="C9:G9"/>
    <mergeCell ref="J9:K9"/>
    <mergeCell ref="C10:G10"/>
    <mergeCell ref="J10:K10"/>
    <mergeCell ref="C20:F20"/>
    <mergeCell ref="C21:F21"/>
    <mergeCell ref="C22:F22"/>
    <mergeCell ref="C23:F23"/>
    <mergeCell ref="E26:F26"/>
    <mergeCell ref="C29:K29"/>
    <mergeCell ref="G14:H14"/>
    <mergeCell ref="J14:K14"/>
    <mergeCell ref="J15:K15"/>
    <mergeCell ref="J16:K16"/>
    <mergeCell ref="G18:G19"/>
    <mergeCell ref="H18:H19"/>
    <mergeCell ref="I18:J18"/>
    <mergeCell ref="C30:K30"/>
    <mergeCell ref="C31:K31"/>
    <mergeCell ref="A33:K33"/>
    <mergeCell ref="A34:K34"/>
    <mergeCell ref="C35:K35"/>
    <mergeCell ref="A42:A45"/>
    <mergeCell ref="B42:B45"/>
    <mergeCell ref="C42:C45"/>
    <mergeCell ref="D42:D45"/>
    <mergeCell ref="E42:E45"/>
    <mergeCell ref="C48:K48"/>
    <mergeCell ref="C50:K50"/>
    <mergeCell ref="H63:I63"/>
    <mergeCell ref="J63:K63"/>
    <mergeCell ref="H64:I64"/>
    <mergeCell ref="J64:K64"/>
    <mergeCell ref="F42:F45"/>
    <mergeCell ref="G42:G45"/>
    <mergeCell ref="H42:H45"/>
    <mergeCell ref="I42:I45"/>
    <mergeCell ref="J42:J45"/>
    <mergeCell ref="K42:K45"/>
    <mergeCell ref="H82:I82"/>
    <mergeCell ref="J82:K82"/>
    <mergeCell ref="H98:I98"/>
    <mergeCell ref="J98:K98"/>
    <mergeCell ref="H99:I99"/>
    <mergeCell ref="J99:K99"/>
    <mergeCell ref="H65:I65"/>
    <mergeCell ref="J65:K65"/>
    <mergeCell ref="C67:K67"/>
    <mergeCell ref="H80:I80"/>
    <mergeCell ref="J80:K80"/>
    <mergeCell ref="H81:I81"/>
    <mergeCell ref="J81:K81"/>
    <mergeCell ref="H118:I118"/>
    <mergeCell ref="J118:K118"/>
    <mergeCell ref="H130:I130"/>
    <mergeCell ref="J130:K130"/>
    <mergeCell ref="H131:I131"/>
    <mergeCell ref="J131:K131"/>
    <mergeCell ref="H100:I100"/>
    <mergeCell ref="J100:K100"/>
    <mergeCell ref="H116:I116"/>
    <mergeCell ref="J116:K116"/>
    <mergeCell ref="H117:I117"/>
    <mergeCell ref="J117:K117"/>
    <mergeCell ref="H150:I150"/>
    <mergeCell ref="J150:K150"/>
    <mergeCell ref="H162:I162"/>
    <mergeCell ref="J162:K162"/>
    <mergeCell ref="H163:I163"/>
    <mergeCell ref="J163:K163"/>
    <mergeCell ref="H132:I132"/>
    <mergeCell ref="J132:K132"/>
    <mergeCell ref="H148:I148"/>
    <mergeCell ref="J148:K148"/>
    <mergeCell ref="H149:I149"/>
    <mergeCell ref="J149:K149"/>
    <mergeCell ref="C239:F239"/>
    <mergeCell ref="I239:J239"/>
    <mergeCell ref="C240:H240"/>
    <mergeCell ref="I240:J240"/>
    <mergeCell ref="C245:F245"/>
    <mergeCell ref="I245:J245"/>
    <mergeCell ref="H164:I164"/>
    <mergeCell ref="J164:K164"/>
    <mergeCell ref="C236:F236"/>
    <mergeCell ref="I236:J236"/>
    <mergeCell ref="C237:H237"/>
    <mergeCell ref="I237:J237"/>
    <mergeCell ref="C251:F251"/>
    <mergeCell ref="I251:J251"/>
    <mergeCell ref="C252:H252"/>
    <mergeCell ref="I252:J252"/>
    <mergeCell ref="C246:H246"/>
    <mergeCell ref="I246:J246"/>
    <mergeCell ref="C248:F248"/>
    <mergeCell ref="I248:J248"/>
    <mergeCell ref="C249:H249"/>
    <mergeCell ref="I249:J249"/>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65"/>
  <sheetViews>
    <sheetView workbookViewId="0"/>
  </sheetViews>
  <sheetFormatPr defaultRowHeight="12.75" x14ac:dyDescent="0.2"/>
  <sheetData>
    <row r="1" spans="1:255" x14ac:dyDescent="0.2">
      <c r="B1" t="s">
        <v>281</v>
      </c>
    </row>
    <row r="3" spans="1:255" x14ac:dyDescent="0.2">
      <c r="A3">
        <v>3</v>
      </c>
      <c r="B3" t="s">
        <v>282</v>
      </c>
    </row>
    <row r="4" spans="1:255" x14ac:dyDescent="0.2">
      <c r="A4">
        <v>2</v>
      </c>
      <c r="B4" t="s">
        <v>283</v>
      </c>
    </row>
    <row r="5" spans="1:255" x14ac:dyDescent="0.2">
      <c r="A5">
        <v>0</v>
      </c>
      <c r="B5" t="s">
        <v>284</v>
      </c>
    </row>
    <row r="6" spans="1:255" x14ac:dyDescent="0.2">
      <c r="A6">
        <v>2</v>
      </c>
      <c r="B6" t="s">
        <v>285</v>
      </c>
    </row>
    <row r="7" spans="1:255" x14ac:dyDescent="0.2">
      <c r="A7">
        <v>0</v>
      </c>
      <c r="B7" t="s">
        <v>286</v>
      </c>
    </row>
    <row r="8" spans="1:255" x14ac:dyDescent="0.2">
      <c r="A8">
        <v>2</v>
      </c>
      <c r="B8" t="s">
        <v>287</v>
      </c>
    </row>
    <row r="9" spans="1:255" x14ac:dyDescent="0.2">
      <c r="A9">
        <v>0</v>
      </c>
      <c r="B9" t="s">
        <v>288</v>
      </c>
    </row>
    <row r="13" spans="1:255" x14ac:dyDescent="0.2">
      <c r="A13">
        <v>3</v>
      </c>
      <c r="B13" t="s">
        <v>345</v>
      </c>
      <c r="D13" t="s">
        <v>346</v>
      </c>
      <c r="F13" t="s">
        <v>347</v>
      </c>
    </row>
    <row r="14" spans="1:255" x14ac:dyDescent="0.2">
      <c r="A14">
        <v>513</v>
      </c>
      <c r="B14" t="s">
        <v>368</v>
      </c>
      <c r="D14" t="s">
        <v>346</v>
      </c>
      <c r="F14" t="s">
        <v>347</v>
      </c>
      <c r="AY14">
        <f>SUM('1.Лок.смета.и.Акт'!AS47:'1.Лок.смета.и.Акт'!AS164)</f>
        <v>0</v>
      </c>
      <c r="AZ14">
        <f>SUM('1.Лок.смета.и.Акт'!AT47:'1.Лок.смета.и.Акт'!AT164)</f>
        <v>0</v>
      </c>
      <c r="BA14">
        <f>SUM('1.Лок.смета.и.Акт'!AU47:'1.Лок.смета.и.Акт'!AU164)</f>
        <v>0</v>
      </c>
      <c r="BB14">
        <f>SUM('1.Лок.смета.и.Акт'!AV47:'1.Лок.смета.и.Акт'!AV164)</f>
        <v>0</v>
      </c>
      <c r="BC14">
        <f>SUM('1.Лок.смета.и.Акт'!AW47:'1.Лок.смета.и.Акт'!AW164)</f>
        <v>0</v>
      </c>
      <c r="BD14">
        <f>SUM('1.Лок.смета.и.Акт'!AX47:'1.Лок.смета.и.Акт'!AX164)</f>
        <v>0</v>
      </c>
      <c r="CW14" t="e">
        <f>Source!DM82</f>
        <v>#REF!</v>
      </c>
      <c r="CX14">
        <f>Source!DN82</f>
        <v>2.3105000000000007</v>
      </c>
      <c r="CY14">
        <f>Source!DG82</f>
        <v>642292</v>
      </c>
      <c r="CZ14">
        <f>Source!DK82</f>
        <v>473686</v>
      </c>
      <c r="DA14">
        <f>Source!DI82</f>
        <v>9086</v>
      </c>
      <c r="DB14">
        <f>Source!DJ82</f>
        <v>768</v>
      </c>
      <c r="DC14">
        <f>Source!DH82</f>
        <v>159520</v>
      </c>
      <c r="DD14">
        <f>Source!EG82</f>
        <v>0</v>
      </c>
      <c r="DE14">
        <f>Source!EN82</f>
        <v>159520</v>
      </c>
      <c r="DF14">
        <f>Source!EO82</f>
        <v>159520</v>
      </c>
      <c r="DG14">
        <f>Source!EP82</f>
        <v>0</v>
      </c>
      <c r="DH14">
        <f>Source!EQ82</f>
        <v>159520</v>
      </c>
      <c r="DI14">
        <f>Source!EH82</f>
        <v>0</v>
      </c>
      <c r="DJ14">
        <f>Source!EI82</f>
        <v>0</v>
      </c>
      <c r="DK14">
        <f>Source!ER82</f>
        <v>0</v>
      </c>
      <c r="DL14">
        <f>Source!DL82</f>
        <v>0</v>
      </c>
      <c r="DM14">
        <f>Source!DO82</f>
        <v>16</v>
      </c>
      <c r="DN14" t="e">
        <f>Source!DP82</f>
        <v>#REF!</v>
      </c>
      <c r="DO14" t="e">
        <f>Source!DQ82</f>
        <v>#REF!</v>
      </c>
      <c r="DP14" t="e">
        <f>Source!EJ82</f>
        <v>#REF!</v>
      </c>
      <c r="DQ14" t="e">
        <f>Source!EK82</f>
        <v>#REF!</v>
      </c>
      <c r="DR14">
        <f>Source!EL82</f>
        <v>0</v>
      </c>
      <c r="DS14">
        <f>Source!EH82</f>
        <v>0</v>
      </c>
      <c r="DT14">
        <f>Source!EM82</f>
        <v>0</v>
      </c>
      <c r="DU14" t="e">
        <f>Source!EK82+Source!EL82</f>
        <v>#REF!</v>
      </c>
      <c r="DW14">
        <f>Source!ES82</f>
        <v>0</v>
      </c>
      <c r="DX14">
        <f>Source!ET82</f>
        <v>0</v>
      </c>
      <c r="DY14">
        <f>Source!EU82</f>
        <v>0</v>
      </c>
      <c r="DZ14">
        <f>Source!EV82</f>
        <v>0</v>
      </c>
      <c r="ET14" t="e">
        <f>Source!DM82</f>
        <v>#REF!</v>
      </c>
      <c r="EU14">
        <f>Source!DN82</f>
        <v>2.3105000000000007</v>
      </c>
      <c r="EV14">
        <f>SUM('1.Лок.смета.и.Акт'!GJ47:'1.Лок.смета.и.Акт'!GJ164)</f>
        <v>46058</v>
      </c>
      <c r="EW14">
        <f>SUM('1.Лок.смета.и.Акт'!GK47:'1.Лок.смета.и.Акт'!GK164)</f>
        <v>13638</v>
      </c>
      <c r="EX14">
        <f>SUM('1.Лок.смета.и.Акт'!GL47:'1.Лок.смета.и.Акт'!GL164)</f>
        <v>711</v>
      </c>
      <c r="EY14">
        <f>SUM('1.Лок.смета.и.Акт'!GM47:'1.Лок.смета.и.Акт'!GM164)</f>
        <v>27</v>
      </c>
      <c r="EZ14">
        <f>SUM('1.Лок.смета.и.Акт'!GN47:'1.Лок.смета.и.Акт'!GN164)</f>
        <v>31709</v>
      </c>
      <c r="FA14">
        <f>SUM('1.Лок.смета.и.Акт'!GO47:'1.Лок.смета.и.Акт'!GO164)</f>
        <v>0</v>
      </c>
      <c r="FB14">
        <f>SUM('1.Лок.смета.и.Акт'!GP47:'1.Лок.смета.и.Акт'!GP164)</f>
        <v>31709</v>
      </c>
      <c r="FC14">
        <f>SUM('1.Лок.смета.и.Акт'!GQ47:'1.Лок.смета.и.Акт'!GQ164)</f>
        <v>31709</v>
      </c>
      <c r="FD14">
        <f>SUM('1.Лок.смета.и.Акт'!GR47:'1.Лок.смета.и.Акт'!GR164)</f>
        <v>0</v>
      </c>
      <c r="FE14">
        <f>SUM('1.Лок.смета.и.Акт'!GS47:'1.Лок.смета.и.Акт'!GS164)</f>
        <v>31709</v>
      </c>
      <c r="FF14">
        <f>SUM('1.Лок.смета.и.Акт'!GT47:'1.Лок.смета.и.Акт'!GT164)</f>
        <v>0</v>
      </c>
      <c r="FG14">
        <f>SUM('1.Лок.смета.и.Акт'!GU47:'1.Лок.смета.и.Акт'!GU164)</f>
        <v>0</v>
      </c>
      <c r="FH14">
        <f>SUM('1.Лок.смета.и.Акт'!GV47:'1.Лок.смета.и.Акт'!GV164)</f>
        <v>0</v>
      </c>
      <c r="FI14">
        <f>SUM('1.Лок.смета.и.Акт'!GW47:'1.Лок.смета.и.Акт'!GW164)</f>
        <v>0</v>
      </c>
      <c r="FJ14">
        <f>SUM('1.Лок.смета.и.Акт'!GX47:'1.Лок.смета.и.Акт'!GX164)</f>
        <v>0</v>
      </c>
      <c r="FK14">
        <f>SUM('1.Лок.смета.и.Акт'!GY47:'1.Лок.смета.и.Акт'!GY164)</f>
        <v>14348</v>
      </c>
      <c r="FL14">
        <f>SUM('1.Лок.смета.и.Акт'!GZ47:'1.Лок.смета.и.Акт'!GZ164)</f>
        <v>7515</v>
      </c>
      <c r="FM14">
        <f>SUM('1.Лок.смета.и.Акт'!HA47:'1.Лок.смета.и.Акт'!HA164)</f>
        <v>67921</v>
      </c>
      <c r="FN14">
        <f>SUM('1.Лок.смета.и.Акт'!HB47:'1.Лок.смета.и.Акт'!HB164)</f>
        <v>67921</v>
      </c>
      <c r="FO14">
        <f>SUM('1.Лок.смета.и.Акт'!HC47:'1.Лок.смета.и.Акт'!HC164)</f>
        <v>0</v>
      </c>
      <c r="FP14">
        <f>SUM('1.Лок.смета.и.Акт'!HD47:'1.Лок.смета.и.Акт'!HD164)</f>
        <v>0</v>
      </c>
      <c r="FQ14">
        <f>SUM('1.Лок.смета.и.Акт'!HE47:'1.Лок.смета.и.Акт'!HE164)</f>
        <v>0</v>
      </c>
      <c r="FR14">
        <f>SUM('1.Лок.смета.и.Акт'!HB47:'1.Лок.смета.и.Акт'!HB164)+SUM('1.Лок.смета.и.Акт'!HC47:'1.Лок.смета.и.Акт'!HC164)</f>
        <v>67921</v>
      </c>
      <c r="FS14">
        <f>SUM('1.Лок.смета.и.Акт'!HG47:'1.Лок.смета.и.Акт'!HG164)</f>
        <v>0</v>
      </c>
      <c r="FT14">
        <f>SUM('1.Лок.смета.и.Акт'!HH47:'1.Лок.смета.и.Акт'!HH164)</f>
        <v>0</v>
      </c>
      <c r="FU14">
        <f>SUM('1.Лок.смета.и.Акт'!HI47:'1.Лок.смета.и.Акт'!HI164)</f>
        <v>0</v>
      </c>
      <c r="FV14">
        <f>SUM('1.Лок.смета.и.Акт'!HJ47:'1.Лок.смета.и.Акт'!HJ164)</f>
        <v>0</v>
      </c>
      <c r="FW14">
        <f>SUM('1.Лок.смета.и.Акт'!HK47:'1.Лок.смета.и.Акт'!HK164)</f>
        <v>0</v>
      </c>
      <c r="FX14">
        <f>SUMIF('1.Лок.смета.и.Акт'!CV47:'1.Лок.смета.и.Акт'!CV164,1,'1.Лок.смета.и.Акт'!GK47:'1.Лок.смета.и.Акт'!GK164)</f>
        <v>13638</v>
      </c>
      <c r="FY14">
        <f>SUMIF('1.Лок.смета.и.Акт'!CV47:'1.Лок.смета.и.Акт'!CV164,2,'1.Лок.смета.и.Акт'!GK47:'1.Лок.смета.и.Акт'!GK164)</f>
        <v>0</v>
      </c>
      <c r="FZ14">
        <f>SUMIF('1.Лок.смета.и.Акт'!CV47:'1.Лок.смета.и.Акт'!CV164,5,'1.Лок.смета.и.Акт'!GK47:'1.Лок.смета.и.Акт'!GK164)</f>
        <v>0</v>
      </c>
      <c r="GA14">
        <f>SUMIF('1.Лок.смета.и.Акт'!CV47:'1.Лок.смета.и.Акт'!CV164,4,'1.Лок.смета.и.Акт'!GK47:'1.Лок.смета.и.Акт'!GK164)</f>
        <v>0</v>
      </c>
      <c r="GB14">
        <f>SUMIF('1.Лок.смета.и.Акт'!CV47:'1.Лок.смета.и.Акт'!CV164,1,'1.Лок.смета.и.Акт'!GL47:'1.Лок.смета.и.Акт'!GL164)</f>
        <v>711</v>
      </c>
      <c r="GC14">
        <f>SUMIF('1.Лок.смета.и.Акт'!CV47:'1.Лок.смета.и.Акт'!CV164,2,'1.Лок.смета.и.Акт'!GL47:'1.Лок.смета.и.Акт'!GL164)</f>
        <v>0</v>
      </c>
      <c r="GD14">
        <f>SUMIF('1.Лок.смета.и.Акт'!CV47:'1.Лок.смета.и.Акт'!CV164,4,'1.Лок.смета.и.Акт'!GL47:'1.Лок.смета.и.Акт'!GL164)</f>
        <v>0</v>
      </c>
      <c r="GE14">
        <f>SUMIF('1.Лок.смета.и.Акт'!CV47:'1.Лок.смета.и.Акт'!CV164,1,'1.Лок.смета.и.Акт'!GQ47:'1.Лок.смета.и.Акт'!GQ164)</f>
        <v>31709</v>
      </c>
      <c r="GF14">
        <f>SUMIF('1.Лок.смета.и.Акт'!CV47:'1.Лок.смета.и.Акт'!CV164,2,'1.Лок.смета.и.Акт'!GQ47:'1.Лок.смета.и.Акт'!GQ164)</f>
        <v>0</v>
      </c>
      <c r="GG14">
        <f>SUMIF('1.Лок.смета.и.Акт'!CV47:'1.Лок.смета.и.Акт'!CV164,4,'1.Лок.смета.и.Акт'!GQ47:'1.Лок.смета.и.Акт'!GQ164)</f>
        <v>0</v>
      </c>
      <c r="IB14">
        <f>SUM('1.Лок.смета.и.Акт'!HO47:'1.Лок.смета.и.Акт'!HO164)</f>
        <v>0</v>
      </c>
      <c r="IC14">
        <f>SUM('1.Лок.смета.и.Акт'!HQ47:'1.Лок.смета.и.Акт'!HQ164)</f>
        <v>0</v>
      </c>
      <c r="ID14">
        <f>SUM('1.Лок.смета.и.Акт'!HS47:'1.Лок.смета.и.Акт'!HS164)</f>
        <v>0</v>
      </c>
      <c r="IE14">
        <f>SUM('1.Лок.смета.и.Акт'!HU47:'1.Лок.смета.и.Акт'!HU164)</f>
        <v>0</v>
      </c>
      <c r="IF14">
        <f>SUM('1.Лок.смета.и.Акт'!HY47:'1.Лок.смета.и.Акт'!HY164)</f>
        <v>0</v>
      </c>
      <c r="IG14">
        <f>SUM('1.Лок.смета.и.Акт'!HZ47:'1.Лок.смета.и.Акт'!HZ164)</f>
        <v>0</v>
      </c>
      <c r="IH14">
        <f>SUM('1.Лок.смета.и.Акт'!HL47:'1.Лок.смета.и.Акт'!HL164)</f>
        <v>67921</v>
      </c>
      <c r="II14">
        <f>SUM('1.Лок.смета.и.Акт'!HN47:'1.Лок.смета.и.Акт'!HN164)</f>
        <v>67921</v>
      </c>
      <c r="IJ14">
        <f>SUM('1.Лок.смета.и.Акт'!HP47:'1.Лок.смета.и.Акт'!HP164)</f>
        <v>0</v>
      </c>
      <c r="IK14">
        <f>SUM('1.Лок.смета.и.Акт'!HR47:'1.Лок.смета.и.Акт'!HR164)</f>
        <v>0</v>
      </c>
      <c r="IL14">
        <f>SUM('1.Лок.смета.и.Акт'!HT47:'1.Лок.смета.и.Акт'!HT164)</f>
        <v>0</v>
      </c>
      <c r="IM14">
        <f>SUM('1.Лок.смета.и.Акт'!HW47:'1.Лок.смета.и.Акт'!HW164)</f>
        <v>0</v>
      </c>
      <c r="IN14">
        <f>SUMIF('1.Лок.смета.и.Акт'!CV47:'1.Лок.смета.и.Акт'!CV164,1,'1.Лок.смета.и.Акт'!GY47:'1.Лок.смета.и.Акт'!GY164)</f>
        <v>14348</v>
      </c>
      <c r="IO14">
        <f>SUMIF('1.Лок.смета.и.Акт'!CV47:'1.Лок.смета.и.Акт'!CV164,2,'1.Лок.смета.и.Акт'!GY47:'1.Лок.смета.и.Акт'!GY164)</f>
        <v>0</v>
      </c>
      <c r="IP14">
        <f>SUMIF('1.Лок.смета.и.Акт'!CV47:'1.Лок.смета.и.Акт'!CV164,5,'1.Лок.смета.и.Акт'!GY47:'1.Лок.смета.и.Акт'!GY164)</f>
        <v>0</v>
      </c>
      <c r="IQ14">
        <f>SUMIF('1.Лок.смета.и.Акт'!CV47:'1.Лок.смета.и.Акт'!CV164,4,'1.Лок.смета.и.Акт'!GY47:'1.Лок.смета.и.Акт'!GY164)</f>
        <v>0</v>
      </c>
      <c r="IR14">
        <f>SUMIF('1.Лок.смета.и.Акт'!CV47:'1.Лок.смета.и.Акт'!CV164,1,'1.Лок.смета.и.Акт'!GZ47:'1.Лок.смета.и.Акт'!GZ164)</f>
        <v>7515</v>
      </c>
      <c r="IS14">
        <f>SUMIF('1.Лок.смета.и.Акт'!CV47:'1.Лок.смета.и.Акт'!CV164,2,'1.Лок.смета.и.Акт'!GZ47:'1.Лок.смета.и.Акт'!GZ164)</f>
        <v>0</v>
      </c>
      <c r="IT14">
        <f>SUMIF('1.Лок.смета.и.Акт'!CV47:'1.Лок.смета.и.Акт'!CV164,5,'1.Лок.смета.и.Акт'!GZ47:'1.Лок.смета.и.Акт'!GZ164)</f>
        <v>0</v>
      </c>
      <c r="IU14">
        <f>SUMIF('1.Лок.смета.и.Акт'!CV47:'1.Лок.смета.и.Акт'!CV164,4,'1.Лок.смета.и.Акт'!GZ47:'1.Лок.смета.и.Акт'!GZ164)</f>
        <v>0</v>
      </c>
    </row>
    <row r="15" spans="1:255" x14ac:dyDescent="0.2">
      <c r="A15">
        <v>999</v>
      </c>
      <c r="B15" t="s">
        <v>432</v>
      </c>
    </row>
    <row r="165" spans="57:68" x14ac:dyDescent="0.2">
      <c r="BE165">
        <f>SUMIF('1.Лок.смета.и.Акт'!CV47:'1.Лок.смета.и.Акт'!CV164,1,'1.Лок.смета.и.Акт'!AV47:'1.Лок.смета.и.Акт'!AV164)</f>
        <v>0</v>
      </c>
      <c r="BF165">
        <f>SUMIF('1.Лок.смета.и.Акт'!CV47:'1.Лок.смета.и.Акт'!CV164,2,'1.Лок.смета.и.Акт'!AV47:'1.Лок.смета.и.Акт'!AV164)</f>
        <v>0</v>
      </c>
      <c r="BG165">
        <f>SUMIF('1.Лок.смета.и.Акт'!CV47:'1.Лок.смета.и.Акт'!CV164,5,'1.Лок.смета.и.Акт'!AV47:'1.Лок.смета.и.Акт'!AV164)</f>
        <v>0</v>
      </c>
      <c r="BH165">
        <f>SUMIF('1.Лок.смета.и.Акт'!CV47:'1.Лок.смета.и.Акт'!CV164,4,'1.Лок.смета.и.Акт'!AV47:'1.Лок.смета.и.Акт'!AV164)</f>
        <v>0</v>
      </c>
      <c r="BI165">
        <f>SUMIF('1.Лок.смета.и.Акт'!CV47:'1.Лок.смета.и.Акт'!CV164,1,'1.Лок.смета.и.Акт'!AW47:'1.Лок.смета.и.Акт'!AW164)</f>
        <v>0</v>
      </c>
      <c r="BJ165">
        <f>SUMIF('1.Лок.смета.и.Акт'!CV47:'1.Лок.смета.и.Акт'!CV164,2,'1.Лок.смета.и.Акт'!AW47:'1.Лок.смета.и.Акт'!AW164)</f>
        <v>0</v>
      </c>
      <c r="BK165">
        <f>SUMIF('1.Лок.смета.и.Акт'!CV47:'1.Лок.смета.и.Акт'!CV164,5,'1.Лок.смета.и.Акт'!AW47:'1.Лок.смета.и.Акт'!AW164)</f>
        <v>0</v>
      </c>
      <c r="BL165">
        <f>SUMIF('1.Лок.смета.и.Акт'!CV47:'1.Лок.смета.и.Акт'!CV164,4,'1.Лок.смета.и.Акт'!AW47:'1.Лок.смета.и.Акт'!AW164)</f>
        <v>0</v>
      </c>
      <c r="BM165">
        <f>SUMIF('1.Лок.смета.и.Акт'!CV47:'1.Лок.смета.и.Акт'!CV164,1,'1.Лок.смета.и.Акт'!AX47:'1.Лок.смета.и.Акт'!AX164)</f>
        <v>0</v>
      </c>
      <c r="BN165">
        <f>SUMIF('1.Лок.смета.и.Акт'!CV47:'1.Лок.смета.и.Акт'!CV164,2,'1.Лок.смета.и.Акт'!AX47:'1.Лок.смета.и.Акт'!AX164)</f>
        <v>0</v>
      </c>
      <c r="BO165">
        <f>SUMIF('1.Лок.смета.и.Акт'!CV47:'1.Лок.смета.и.Акт'!CV164,5,'1.Лок.смета.и.Акт'!AX47:'1.Лок.смета.и.Акт'!AX164)</f>
        <v>0</v>
      </c>
      <c r="BP165">
        <f>SUMIF('1.Лок.смета.и.Акт'!CV47:'1.Лок.смета.и.Акт'!CV164,4,'1.Лок.смета.и.Акт'!AX47:'1.Лок.смета.и.Акт'!AX164)</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81"/>
  <sheetViews>
    <sheetView workbookViewId="0">
      <selection activeCell="A177" sqref="A177:AX177"/>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20266</v>
      </c>
      <c r="M1">
        <v>66415739</v>
      </c>
      <c r="N1">
        <v>11</v>
      </c>
      <c r="O1">
        <v>11</v>
      </c>
      <c r="P1">
        <v>0</v>
      </c>
      <c r="Q1">
        <v>3</v>
      </c>
      <c r="IF1">
        <v>-1</v>
      </c>
    </row>
    <row r="2" spans="1:246" x14ac:dyDescent="0.2">
      <c r="IF2">
        <v>-1</v>
      </c>
      <c r="IK2" s="76">
        <f>'3.Материалы'!G30</f>
        <v>159442.62</v>
      </c>
      <c r="IL2" t="s">
        <v>466</v>
      </c>
    </row>
    <row r="3" spans="1:246" x14ac:dyDescent="0.2">
      <c r="IF3">
        <v>-1</v>
      </c>
    </row>
    <row r="4" spans="1:246" x14ac:dyDescent="0.2">
      <c r="A4" s="1">
        <v>1</v>
      </c>
      <c r="B4" s="1">
        <v>1</v>
      </c>
      <c r="C4" s="1">
        <v>-1</v>
      </c>
      <c r="D4" s="1"/>
      <c r="E4" s="1"/>
      <c r="F4" s="1" t="s">
        <v>4</v>
      </c>
      <c r="G4" s="1" t="s">
        <v>5</v>
      </c>
      <c r="H4" s="1" t="s">
        <v>6</v>
      </c>
      <c r="I4" s="1" t="s">
        <v>6</v>
      </c>
      <c r="J4" s="1" t="s">
        <v>6</v>
      </c>
      <c r="K4" s="1" t="s">
        <v>6</v>
      </c>
      <c r="L4" s="1" t="s">
        <v>6</v>
      </c>
      <c r="M4" s="1" t="s">
        <v>6</v>
      </c>
      <c r="N4" s="1" t="s">
        <v>6</v>
      </c>
      <c r="O4" s="1" t="s">
        <v>6</v>
      </c>
      <c r="P4" s="1">
        <v>0</v>
      </c>
      <c r="Q4" s="1" t="s">
        <v>6</v>
      </c>
      <c r="R4" s="1"/>
      <c r="S4" s="1"/>
      <c r="T4" s="1"/>
      <c r="U4" s="1"/>
      <c r="V4" s="1"/>
      <c r="W4" s="1"/>
      <c r="X4" s="1"/>
      <c r="Y4" s="1"/>
      <c r="Z4" s="1"/>
      <c r="AA4" s="1"/>
      <c r="AB4" s="1"/>
      <c r="AC4" s="1"/>
      <c r="AD4" s="1"/>
      <c r="AE4" s="1">
        <v>0</v>
      </c>
      <c r="BH4" t="s">
        <v>6</v>
      </c>
      <c r="BI4" t="s">
        <v>6</v>
      </c>
      <c r="BJ4" t="s">
        <v>6</v>
      </c>
      <c r="BK4" t="s">
        <v>6</v>
      </c>
      <c r="BL4" t="s">
        <v>6</v>
      </c>
      <c r="IF4">
        <v>-1</v>
      </c>
    </row>
    <row r="5" spans="1:246" x14ac:dyDescent="0.2">
      <c r="IF5">
        <v>-1</v>
      </c>
      <c r="IK5">
        <v>5</v>
      </c>
      <c r="IL5" t="s">
        <v>289</v>
      </c>
    </row>
    <row r="6" spans="1:246" x14ac:dyDescent="0.2">
      <c r="IF6">
        <v>-1</v>
      </c>
      <c r="IK6">
        <v>50</v>
      </c>
      <c r="IL6" t="s">
        <v>279</v>
      </c>
    </row>
    <row r="7" spans="1:246" x14ac:dyDescent="0.2">
      <c r="IF7">
        <v>-1</v>
      </c>
      <c r="IK7">
        <v>1</v>
      </c>
      <c r="IL7" t="s">
        <v>435</v>
      </c>
    </row>
    <row r="8" spans="1:246" x14ac:dyDescent="0.2">
      <c r="IF8">
        <v>-1</v>
      </c>
      <c r="IK8">
        <f>IF((Source!AR82&lt;&gt;'2.Лок.смета.и.Акт'!N36),0,1)</f>
        <v>0</v>
      </c>
      <c r="IL8" t="s">
        <v>369</v>
      </c>
    </row>
    <row r="9" spans="1:246" x14ac:dyDescent="0.2">
      <c r="IF9">
        <v>-1</v>
      </c>
      <c r="IK9" s="12" t="s">
        <v>434</v>
      </c>
      <c r="IL9" t="s">
        <v>280</v>
      </c>
    </row>
    <row r="10" spans="1:246" x14ac:dyDescent="0.2">
      <c r="IF10">
        <v>-1</v>
      </c>
      <c r="IK10">
        <v>2</v>
      </c>
      <c r="IL10" t="s">
        <v>277</v>
      </c>
    </row>
    <row r="11" spans="1:246" x14ac:dyDescent="0.2">
      <c r="IF11">
        <v>-1</v>
      </c>
      <c r="IK11" t="s">
        <v>433</v>
      </c>
      <c r="IL11" t="s">
        <v>278</v>
      </c>
    </row>
    <row r="12" spans="1:246" x14ac:dyDescent="0.2">
      <c r="A12" s="1">
        <v>1</v>
      </c>
      <c r="B12" s="1">
        <v>175</v>
      </c>
      <c r="C12" s="1">
        <v>1</v>
      </c>
      <c r="D12" s="1">
        <f>ROW(A112)</f>
        <v>112</v>
      </c>
      <c r="E12" s="1">
        <v>0</v>
      </c>
      <c r="F12" s="1" t="s">
        <v>7</v>
      </c>
      <c r="G12" s="1" t="s">
        <v>5</v>
      </c>
      <c r="H12" s="1" t="s">
        <v>6</v>
      </c>
      <c r="I12" s="1">
        <v>0</v>
      </c>
      <c r="J12" s="1" t="s">
        <v>8</v>
      </c>
      <c r="K12" s="1">
        <v>0</v>
      </c>
      <c r="L12" s="1">
        <v>0</v>
      </c>
      <c r="M12" s="1">
        <v>3</v>
      </c>
      <c r="N12" s="1"/>
      <c r="O12" s="1">
        <v>0</v>
      </c>
      <c r="P12" s="1">
        <v>0</v>
      </c>
      <c r="Q12" s="1">
        <v>2</v>
      </c>
      <c r="R12" s="1">
        <v>0</v>
      </c>
      <c r="S12" s="1">
        <v>0</v>
      </c>
      <c r="T12" s="1">
        <v>1</v>
      </c>
      <c r="U12" s="1" t="s">
        <v>8</v>
      </c>
      <c r="V12" s="1">
        <v>0</v>
      </c>
      <c r="W12" s="1" t="s">
        <v>6</v>
      </c>
      <c r="X12" s="1" t="s">
        <v>6</v>
      </c>
      <c r="Y12" s="1" t="s">
        <v>6</v>
      </c>
      <c r="Z12" s="1" t="s">
        <v>6</v>
      </c>
      <c r="AA12" s="1" t="s">
        <v>6</v>
      </c>
      <c r="AB12" s="1" t="s">
        <v>6</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9</v>
      </c>
      <c r="BI12" s="1" t="s">
        <v>10</v>
      </c>
      <c r="BJ12" s="1">
        <v>1</v>
      </c>
      <c r="BK12" s="1">
        <v>0</v>
      </c>
      <c r="BL12" s="1">
        <v>0</v>
      </c>
      <c r="BM12" s="1">
        <v>0</v>
      </c>
      <c r="BN12" s="1">
        <v>0</v>
      </c>
      <c r="BO12" s="1">
        <v>0</v>
      </c>
      <c r="BP12" s="1">
        <v>2</v>
      </c>
      <c r="BQ12" s="1">
        <v>0</v>
      </c>
      <c r="BR12" s="1">
        <v>1</v>
      </c>
      <c r="BS12" s="1">
        <v>1</v>
      </c>
      <c r="BT12" s="1">
        <v>0</v>
      </c>
      <c r="BU12" s="1">
        <v>0</v>
      </c>
      <c r="BV12" s="1">
        <v>1</v>
      </c>
      <c r="BW12" s="1">
        <v>0</v>
      </c>
      <c r="BX12" s="1">
        <v>0</v>
      </c>
      <c r="BY12" s="1" t="s">
        <v>11</v>
      </c>
      <c r="BZ12" s="1" t="s">
        <v>12</v>
      </c>
      <c r="CA12" s="1" t="s">
        <v>13</v>
      </c>
      <c r="CB12" s="1" t="s">
        <v>13</v>
      </c>
      <c r="CC12" s="1" t="s">
        <v>13</v>
      </c>
      <c r="CD12" s="1" t="s">
        <v>14</v>
      </c>
      <c r="CE12" s="1" t="s">
        <v>15</v>
      </c>
      <c r="CF12" s="1">
        <v>0</v>
      </c>
      <c r="CG12" s="1">
        <v>0</v>
      </c>
      <c r="CH12" s="1">
        <v>86549001</v>
      </c>
      <c r="CI12" s="1" t="s">
        <v>6</v>
      </c>
      <c r="CJ12" s="1" t="s">
        <v>6</v>
      </c>
      <c r="CK12" s="1">
        <v>0</v>
      </c>
      <c r="CL12" s="1"/>
      <c r="CM12" s="1"/>
      <c r="CN12" s="1"/>
      <c r="CO12" s="1"/>
      <c r="CP12" s="1"/>
      <c r="CQ12" s="1"/>
      <c r="CR12" s="1"/>
      <c r="CS12" s="1"/>
      <c r="CT12" s="1"/>
      <c r="CU12" s="1"/>
      <c r="CV12" s="1"/>
      <c r="CW12" s="1"/>
      <c r="CX12" s="1"/>
      <c r="CY12" s="1">
        <v>0</v>
      </c>
      <c r="CZ12" s="1" t="s">
        <v>6</v>
      </c>
      <c r="DA12" s="1" t="s">
        <v>6</v>
      </c>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B112</f>
        <v>175</v>
      </c>
      <c r="C18" s="3">
        <f t="shared" si="0"/>
        <v>1</v>
      </c>
      <c r="D18" s="3">
        <f t="shared" si="0"/>
        <v>12</v>
      </c>
      <c r="E18" s="3">
        <f t="shared" si="0"/>
        <v>0</v>
      </c>
      <c r="F18" s="3" t="str">
        <f t="shared" si="0"/>
        <v>5.9.3.4 Отделка квартир типа "Теплый White Box" Д1</v>
      </c>
      <c r="G18" s="3" t="str">
        <f t="shared" si="0"/>
        <v>Комплекс из 2-х многоквартирных домов, расположенных по адресу г.Орел, б-р Молодежи, участок 2а. 1-й этап строительства - многоквартирный дом корпус 2 (поз.1)</v>
      </c>
      <c r="H18" s="3"/>
      <c r="I18" s="3"/>
      <c r="J18" s="3"/>
      <c r="K18" s="3"/>
      <c r="L18" s="3"/>
      <c r="M18" s="3"/>
      <c r="N18" s="3"/>
      <c r="O18" s="3">
        <f t="shared" ref="O18:AT18" si="1">O112</f>
        <v>46058</v>
      </c>
      <c r="P18" s="3">
        <f t="shared" si="1"/>
        <v>31709</v>
      </c>
      <c r="Q18" s="3">
        <f t="shared" si="1"/>
        <v>711</v>
      </c>
      <c r="R18" s="3">
        <f t="shared" si="1"/>
        <v>27</v>
      </c>
      <c r="S18" s="3">
        <f t="shared" si="1"/>
        <v>13638</v>
      </c>
      <c r="T18" s="3">
        <f t="shared" si="1"/>
        <v>0</v>
      </c>
      <c r="U18" s="3">
        <f t="shared" si="1"/>
        <v>1404.7252799999999</v>
      </c>
      <c r="V18" s="3">
        <f t="shared" si="1"/>
        <v>2.3105000000000007</v>
      </c>
      <c r="W18" s="3">
        <f t="shared" si="1"/>
        <v>16</v>
      </c>
      <c r="X18" s="3">
        <f t="shared" si="1"/>
        <v>14348</v>
      </c>
      <c r="Y18" s="3">
        <f t="shared" si="1"/>
        <v>7515</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67921</v>
      </c>
      <c r="AS18" s="3">
        <f t="shared" si="1"/>
        <v>67921</v>
      </c>
      <c r="AT18" s="3">
        <f t="shared" si="1"/>
        <v>0</v>
      </c>
      <c r="AU18" s="3">
        <f t="shared" ref="AU18:BZ18" si="2">AU112</f>
        <v>0</v>
      </c>
      <c r="AV18" s="3">
        <f t="shared" si="2"/>
        <v>31709</v>
      </c>
      <c r="AW18" s="3">
        <f t="shared" si="2"/>
        <v>31709</v>
      </c>
      <c r="AX18" s="3">
        <f t="shared" si="2"/>
        <v>0</v>
      </c>
      <c r="AY18" s="3">
        <f t="shared" si="2"/>
        <v>31709</v>
      </c>
      <c r="AZ18" s="3">
        <f t="shared" si="2"/>
        <v>0</v>
      </c>
      <c r="BA18" s="3">
        <f t="shared" si="2"/>
        <v>0</v>
      </c>
      <c r="BB18" s="3">
        <f t="shared" si="2"/>
        <v>0</v>
      </c>
      <c r="BC18" s="3">
        <f t="shared" si="2"/>
        <v>0</v>
      </c>
      <c r="BD18" s="3">
        <f t="shared" si="2"/>
        <v>0</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CA112</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DG112</f>
        <v>642292</v>
      </c>
      <c r="DH18" s="4">
        <f t="shared" si="4"/>
        <v>159520</v>
      </c>
      <c r="DI18" s="4">
        <f t="shared" si="4"/>
        <v>9086</v>
      </c>
      <c r="DJ18" s="4">
        <f t="shared" si="4"/>
        <v>768</v>
      </c>
      <c r="DK18" s="4">
        <f t="shared" si="4"/>
        <v>473686</v>
      </c>
      <c r="DL18" s="4">
        <f t="shared" si="4"/>
        <v>0</v>
      </c>
      <c r="DM18" s="4" t="e">
        <f t="shared" si="4"/>
        <v>#REF!</v>
      </c>
      <c r="DN18" s="4">
        <f t="shared" si="4"/>
        <v>2.3105000000000007</v>
      </c>
      <c r="DO18" s="4">
        <f t="shared" si="4"/>
        <v>16</v>
      </c>
      <c r="DP18" s="4" t="e">
        <f t="shared" si="4"/>
        <v>#REF!</v>
      </c>
      <c r="DQ18" s="4" t="e">
        <f t="shared" si="4"/>
        <v>#REF!</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t="e">
        <f t="shared" si="4"/>
        <v>#REF!</v>
      </c>
      <c r="EK18" s="4" t="e">
        <f t="shared" si="4"/>
        <v>#REF!</v>
      </c>
      <c r="EL18" s="4">
        <f t="shared" si="4"/>
        <v>0</v>
      </c>
      <c r="EM18" s="4">
        <f t="shared" ref="EM18:FR18" si="5">EM112</f>
        <v>0</v>
      </c>
      <c r="EN18" s="4">
        <f t="shared" si="5"/>
        <v>159520</v>
      </c>
      <c r="EO18" s="4">
        <f t="shared" si="5"/>
        <v>159520</v>
      </c>
      <c r="EP18" s="4">
        <f t="shared" si="5"/>
        <v>0</v>
      </c>
      <c r="EQ18" s="4">
        <f t="shared" si="5"/>
        <v>159520</v>
      </c>
      <c r="ER18" s="4">
        <f t="shared" si="5"/>
        <v>0</v>
      </c>
      <c r="ES18" s="4">
        <f t="shared" si="5"/>
        <v>0</v>
      </c>
      <c r="ET18" s="4">
        <f t="shared" si="5"/>
        <v>0</v>
      </c>
      <c r="EU18" s="4">
        <f t="shared" si="5"/>
        <v>0</v>
      </c>
      <c r="EV18" s="4">
        <f t="shared" si="5"/>
        <v>0</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FS112</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ROW(A82)</f>
        <v>82</v>
      </c>
      <c r="E20" s="1"/>
      <c r="F20" s="1" t="s">
        <v>16</v>
      </c>
      <c r="G20" s="1" t="s">
        <v>17</v>
      </c>
      <c r="H20" s="1" t="s">
        <v>6</v>
      </c>
      <c r="I20" s="1">
        <v>0</v>
      </c>
      <c r="J20" s="1" t="s">
        <v>6</v>
      </c>
      <c r="K20" s="1">
        <v>-1</v>
      </c>
      <c r="L20" s="1" t="s">
        <v>16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B82</f>
        <v>1</v>
      </c>
      <c r="C22" s="3">
        <f t="shared" si="7"/>
        <v>3</v>
      </c>
      <c r="D22" s="3">
        <f t="shared" si="7"/>
        <v>20</v>
      </c>
      <c r="E22" s="3">
        <f t="shared" si="7"/>
        <v>0</v>
      </c>
      <c r="F22" s="3" t="str">
        <f t="shared" si="7"/>
        <v>5.9.3.4</v>
      </c>
      <c r="G22" s="3" t="str">
        <f t="shared" si="7"/>
        <v>Отделка помещений квартир типа "Теплый White Box"</v>
      </c>
      <c r="H22" s="3"/>
      <c r="I22" s="3"/>
      <c r="J22" s="3"/>
      <c r="K22" s="3"/>
      <c r="L22" s="3"/>
      <c r="M22" s="3"/>
      <c r="N22" s="3"/>
      <c r="O22" s="3">
        <f t="shared" ref="O22:AT22" si="8">O82</f>
        <v>46058</v>
      </c>
      <c r="P22" s="3">
        <f t="shared" si="8"/>
        <v>31709</v>
      </c>
      <c r="Q22" s="3">
        <f t="shared" si="8"/>
        <v>711</v>
      </c>
      <c r="R22" s="3">
        <f t="shared" si="8"/>
        <v>27</v>
      </c>
      <c r="S22" s="3">
        <f t="shared" si="8"/>
        <v>13638</v>
      </c>
      <c r="T22" s="3">
        <f t="shared" si="8"/>
        <v>0</v>
      </c>
      <c r="U22" s="3">
        <f t="shared" si="8"/>
        <v>1404.7252799999999</v>
      </c>
      <c r="V22" s="3">
        <f t="shared" si="8"/>
        <v>2.3105000000000007</v>
      </c>
      <c r="W22" s="3">
        <f t="shared" si="8"/>
        <v>16</v>
      </c>
      <c r="X22" s="3">
        <f t="shared" si="8"/>
        <v>14348</v>
      </c>
      <c r="Y22" s="3">
        <f t="shared" si="8"/>
        <v>7515</v>
      </c>
      <c r="Z22" s="3">
        <f t="shared" si="8"/>
        <v>0</v>
      </c>
      <c r="AA22" s="3">
        <f t="shared" si="8"/>
        <v>0</v>
      </c>
      <c r="AB22" s="3">
        <f t="shared" si="8"/>
        <v>46058</v>
      </c>
      <c r="AC22" s="3">
        <f t="shared" si="8"/>
        <v>31709</v>
      </c>
      <c r="AD22" s="3">
        <f t="shared" si="8"/>
        <v>711</v>
      </c>
      <c r="AE22" s="3">
        <f t="shared" si="8"/>
        <v>27</v>
      </c>
      <c r="AF22" s="3">
        <f t="shared" si="8"/>
        <v>13638</v>
      </c>
      <c r="AG22" s="3">
        <f t="shared" si="8"/>
        <v>0</v>
      </c>
      <c r="AH22" s="3">
        <f t="shared" si="8"/>
        <v>1404.7252799999999</v>
      </c>
      <c r="AI22" s="3">
        <f t="shared" si="8"/>
        <v>2.3105000000000007</v>
      </c>
      <c r="AJ22" s="3">
        <f t="shared" si="8"/>
        <v>16</v>
      </c>
      <c r="AK22" s="3">
        <f t="shared" si="8"/>
        <v>14348</v>
      </c>
      <c r="AL22" s="3">
        <f t="shared" si="8"/>
        <v>7515</v>
      </c>
      <c r="AM22" s="3">
        <f t="shared" si="8"/>
        <v>0</v>
      </c>
      <c r="AN22" s="3">
        <f t="shared" si="8"/>
        <v>0</v>
      </c>
      <c r="AO22" s="3">
        <f t="shared" si="8"/>
        <v>0</v>
      </c>
      <c r="AP22" s="3">
        <f t="shared" si="8"/>
        <v>0</v>
      </c>
      <c r="AQ22" s="3">
        <f t="shared" si="8"/>
        <v>0</v>
      </c>
      <c r="AR22" s="3">
        <f t="shared" si="8"/>
        <v>67921</v>
      </c>
      <c r="AS22" s="3">
        <f t="shared" si="8"/>
        <v>67921</v>
      </c>
      <c r="AT22" s="3">
        <f t="shared" si="8"/>
        <v>0</v>
      </c>
      <c r="AU22" s="3">
        <f t="shared" ref="AU22:BZ22" si="9">AU82</f>
        <v>0</v>
      </c>
      <c r="AV22" s="3">
        <f t="shared" si="9"/>
        <v>31709</v>
      </c>
      <c r="AW22" s="3">
        <f t="shared" si="9"/>
        <v>31709</v>
      </c>
      <c r="AX22" s="3">
        <f t="shared" si="9"/>
        <v>0</v>
      </c>
      <c r="AY22" s="3">
        <f t="shared" si="9"/>
        <v>31709</v>
      </c>
      <c r="AZ22" s="3">
        <f t="shared" si="9"/>
        <v>0</v>
      </c>
      <c r="BA22" s="3">
        <f t="shared" si="9"/>
        <v>0</v>
      </c>
      <c r="BB22" s="3">
        <f t="shared" si="9"/>
        <v>0</v>
      </c>
      <c r="BC22" s="3">
        <f t="shared" si="9"/>
        <v>0</v>
      </c>
      <c r="BD22" s="3">
        <f t="shared" si="9"/>
        <v>0</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CA82</f>
        <v>67921</v>
      </c>
      <c r="CB22" s="3">
        <f t="shared" si="10"/>
        <v>67921</v>
      </c>
      <c r="CC22" s="3">
        <f t="shared" si="10"/>
        <v>0</v>
      </c>
      <c r="CD22" s="3">
        <f t="shared" si="10"/>
        <v>0</v>
      </c>
      <c r="CE22" s="3">
        <f t="shared" si="10"/>
        <v>31709</v>
      </c>
      <c r="CF22" s="3">
        <f t="shared" si="10"/>
        <v>31709</v>
      </c>
      <c r="CG22" s="3">
        <f t="shared" si="10"/>
        <v>0</v>
      </c>
      <c r="CH22" s="3">
        <f t="shared" si="10"/>
        <v>31709</v>
      </c>
      <c r="CI22" s="3">
        <f t="shared" si="10"/>
        <v>0</v>
      </c>
      <c r="CJ22" s="3">
        <f t="shared" si="10"/>
        <v>0</v>
      </c>
      <c r="CK22" s="3">
        <f t="shared" si="10"/>
        <v>0</v>
      </c>
      <c r="CL22" s="3">
        <f t="shared" si="10"/>
        <v>0</v>
      </c>
      <c r="CM22" s="3">
        <f t="shared" si="10"/>
        <v>0</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DG82</f>
        <v>642292</v>
      </c>
      <c r="DH22" s="4">
        <f t="shared" si="11"/>
        <v>159520</v>
      </c>
      <c r="DI22" s="4">
        <f t="shared" si="11"/>
        <v>9086</v>
      </c>
      <c r="DJ22" s="4">
        <f t="shared" si="11"/>
        <v>768</v>
      </c>
      <c r="DK22" s="4">
        <f t="shared" si="11"/>
        <v>473686</v>
      </c>
      <c r="DL22" s="4">
        <f t="shared" si="11"/>
        <v>0</v>
      </c>
      <c r="DM22" s="4" t="e">
        <f t="shared" si="11"/>
        <v>#REF!</v>
      </c>
      <c r="DN22" s="4">
        <f t="shared" si="11"/>
        <v>2.3105000000000007</v>
      </c>
      <c r="DO22" s="4">
        <f t="shared" si="11"/>
        <v>16</v>
      </c>
      <c r="DP22" s="4" t="e">
        <f t="shared" si="11"/>
        <v>#REF!</v>
      </c>
      <c r="DQ22" s="4" t="e">
        <f t="shared" si="11"/>
        <v>#REF!</v>
      </c>
      <c r="DR22" s="4">
        <f t="shared" si="11"/>
        <v>0</v>
      </c>
      <c r="DS22" s="4">
        <f t="shared" si="11"/>
        <v>0</v>
      </c>
      <c r="DT22" s="4">
        <f t="shared" si="11"/>
        <v>642292</v>
      </c>
      <c r="DU22" s="4">
        <f t="shared" si="11"/>
        <v>159520</v>
      </c>
      <c r="DV22" s="4">
        <f t="shared" si="11"/>
        <v>9086</v>
      </c>
      <c r="DW22" s="4">
        <f t="shared" si="11"/>
        <v>768</v>
      </c>
      <c r="DX22" s="4">
        <f t="shared" si="11"/>
        <v>473686</v>
      </c>
      <c r="DY22" s="4">
        <f t="shared" si="11"/>
        <v>0</v>
      </c>
      <c r="DZ22" s="4" t="e">
        <f t="shared" si="11"/>
        <v>#REF!</v>
      </c>
      <c r="EA22" s="4">
        <f t="shared" si="11"/>
        <v>2.3105000000000007</v>
      </c>
      <c r="EB22" s="4">
        <f t="shared" si="11"/>
        <v>16</v>
      </c>
      <c r="EC22" s="4" t="e">
        <f t="shared" si="11"/>
        <v>#REF!</v>
      </c>
      <c r="ED22" s="4" t="e">
        <f t="shared" si="11"/>
        <v>#REF!</v>
      </c>
      <c r="EE22" s="4">
        <f t="shared" si="11"/>
        <v>0</v>
      </c>
      <c r="EF22" s="4">
        <f t="shared" si="11"/>
        <v>0</v>
      </c>
      <c r="EG22" s="4">
        <f t="shared" si="11"/>
        <v>0</v>
      </c>
      <c r="EH22" s="4">
        <f t="shared" si="11"/>
        <v>0</v>
      </c>
      <c r="EI22" s="4">
        <f t="shared" si="11"/>
        <v>0</v>
      </c>
      <c r="EJ22" s="4" t="e">
        <f t="shared" si="11"/>
        <v>#REF!</v>
      </c>
      <c r="EK22" s="4" t="e">
        <f t="shared" si="11"/>
        <v>#REF!</v>
      </c>
      <c r="EL22" s="4">
        <f t="shared" si="11"/>
        <v>0</v>
      </c>
      <c r="EM22" s="4">
        <f t="shared" ref="EM22:FR22" si="12">EM82</f>
        <v>0</v>
      </c>
      <c r="EN22" s="4">
        <f t="shared" si="12"/>
        <v>159520</v>
      </c>
      <c r="EO22" s="4">
        <f t="shared" si="12"/>
        <v>159520</v>
      </c>
      <c r="EP22" s="4">
        <f t="shared" si="12"/>
        <v>0</v>
      </c>
      <c r="EQ22" s="4">
        <f t="shared" si="12"/>
        <v>159520</v>
      </c>
      <c r="ER22" s="4">
        <f t="shared" si="12"/>
        <v>0</v>
      </c>
      <c r="ES22" s="4">
        <f t="shared" si="12"/>
        <v>0</v>
      </c>
      <c r="ET22" s="4">
        <f t="shared" si="12"/>
        <v>0</v>
      </c>
      <c r="EU22" s="4">
        <f t="shared" si="12"/>
        <v>0</v>
      </c>
      <c r="EV22" s="4">
        <f t="shared" si="12"/>
        <v>0</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t="e">
        <f t="shared" ref="FS22:GX22" si="13">FS82</f>
        <v>#REF!</v>
      </c>
      <c r="FT22" s="4" t="e">
        <f t="shared" si="13"/>
        <v>#REF!</v>
      </c>
      <c r="FU22" s="4">
        <f t="shared" si="13"/>
        <v>0</v>
      </c>
      <c r="FV22" s="4">
        <f t="shared" si="13"/>
        <v>0</v>
      </c>
      <c r="FW22" s="4">
        <f t="shared" si="13"/>
        <v>159520</v>
      </c>
      <c r="FX22" s="4">
        <f t="shared" si="13"/>
        <v>159520</v>
      </c>
      <c r="FY22" s="4">
        <f t="shared" si="13"/>
        <v>0</v>
      </c>
      <c r="FZ22" s="4">
        <f t="shared" si="13"/>
        <v>159520</v>
      </c>
      <c r="GA22" s="4">
        <f t="shared" si="13"/>
        <v>0</v>
      </c>
      <c r="GB22" s="4">
        <f t="shared" si="13"/>
        <v>0</v>
      </c>
      <c r="GC22" s="4">
        <f t="shared" si="13"/>
        <v>0</v>
      </c>
      <c r="GD22" s="4">
        <f t="shared" si="13"/>
        <v>0</v>
      </c>
      <c r="GE22" s="4">
        <f t="shared" si="13"/>
        <v>0</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18</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19</v>
      </c>
      <c r="B25" s="2">
        <v>1</v>
      </c>
      <c r="C25" s="2"/>
      <c r="D25" s="2"/>
      <c r="E25" s="2"/>
      <c r="F25" s="2" t="s">
        <v>6</v>
      </c>
      <c r="G25" s="2" t="s">
        <v>19</v>
      </c>
      <c r="H25" s="2" t="s">
        <v>6</v>
      </c>
      <c r="I25" s="2"/>
      <c r="J25" s="2"/>
      <c r="K25" s="2"/>
      <c r="L25" s="2"/>
      <c r="M25" s="2"/>
      <c r="N25" s="2"/>
      <c r="O25" s="2"/>
      <c r="P25" s="2"/>
      <c r="Q25" s="2"/>
      <c r="R25" s="2"/>
      <c r="S25" s="2"/>
      <c r="T25" s="2"/>
      <c r="U25" s="2"/>
      <c r="V25" s="2"/>
      <c r="W25" s="2"/>
      <c r="X25" s="2"/>
      <c r="Y25" s="2"/>
      <c r="Z25" s="2"/>
      <c r="AA25" s="2">
        <v>1</v>
      </c>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v>-1</v>
      </c>
      <c r="IG25" s="2"/>
      <c r="IH25" s="2"/>
      <c r="II25" s="2"/>
      <c r="IJ25" s="2"/>
      <c r="IK25" s="2">
        <v>0</v>
      </c>
      <c r="IL25" s="2"/>
      <c r="IM25" s="2"/>
      <c r="IN25" s="2"/>
      <c r="IO25" s="2"/>
      <c r="IP25" s="2"/>
      <c r="IQ25" s="2"/>
      <c r="IR25" s="2"/>
      <c r="IS25" s="2"/>
      <c r="IT25" s="2"/>
      <c r="IU25" s="2"/>
    </row>
    <row r="26" spans="1:255" x14ac:dyDescent="0.2">
      <c r="A26" s="2">
        <v>17</v>
      </c>
      <c r="B26" s="2">
        <v>1</v>
      </c>
      <c r="C26" s="2">
        <f>ROW(SmtRes!A6)</f>
        <v>6</v>
      </c>
      <c r="D26" s="2">
        <f>ROW(EtalonRes!A6)</f>
        <v>6</v>
      </c>
      <c r="E26" s="2" t="s">
        <v>20</v>
      </c>
      <c r="F26" s="2" t="s">
        <v>21</v>
      </c>
      <c r="G26" s="2" t="s">
        <v>22</v>
      </c>
      <c r="H26" s="2" t="s">
        <v>23</v>
      </c>
      <c r="I26" s="2">
        <f>'2.Лок.смета.и.Акт'!E26</f>
        <v>19.164000000000001</v>
      </c>
      <c r="J26" s="2">
        <v>0</v>
      </c>
      <c r="K26" s="2">
        <v>19.164000000000001</v>
      </c>
      <c r="L26" s="2"/>
      <c r="M26" s="2"/>
      <c r="N26" s="2"/>
      <c r="O26" s="2">
        <f t="shared" ref="O26:O31" si="14">ROUND(CP26,0)</f>
        <v>1530</v>
      </c>
      <c r="P26" s="2">
        <f t="shared" ref="P26:P31" si="15">ROUND(CQ26*I26,0)</f>
        <v>0</v>
      </c>
      <c r="Q26" s="2">
        <f t="shared" ref="Q26:Q31" si="16">ROUND(CR26*I26,0)</f>
        <v>24</v>
      </c>
      <c r="R26" s="2">
        <f t="shared" ref="R26:R31" si="17">ROUND(CS26*I26,0)</f>
        <v>3</v>
      </c>
      <c r="S26" s="2">
        <f t="shared" ref="S26:S31" si="18">ROUND(CT26*I26,0)</f>
        <v>1506</v>
      </c>
      <c r="T26" s="2">
        <f t="shared" ref="T26:T31" si="19">ROUND(CU26*I26,0)</f>
        <v>0</v>
      </c>
      <c r="U26" s="2">
        <f t="shared" ref="U26:U31" si="20">CV26*I26</f>
        <v>155.22839999999999</v>
      </c>
      <c r="V26" s="2">
        <f t="shared" ref="V26:V31" si="21">CW26*I26</f>
        <v>0.19164000000000003</v>
      </c>
      <c r="W26" s="2">
        <f t="shared" ref="W26:W31" si="22">ROUND(CX26*I26,0)</f>
        <v>0</v>
      </c>
      <c r="X26" s="2">
        <f t="shared" ref="X26:Y31" si="23">ROUND(CY26,0)</f>
        <v>1584</v>
      </c>
      <c r="Y26" s="2">
        <f t="shared" si="23"/>
        <v>830</v>
      </c>
      <c r="Z26" s="2"/>
      <c r="AA26" s="2">
        <v>74242616</v>
      </c>
      <c r="AB26" s="2">
        <f t="shared" ref="AB26:AB31" si="24">ROUND((AC26+AD26+AF26),2)</f>
        <v>79.819999999999993</v>
      </c>
      <c r="AC26" s="2">
        <f>ROUND((ES26+(SUM(SmtRes!BC1:'SmtRes'!BC6)+SUM(EtalonRes!AL1:'EtalonRes'!AL6))),2)</f>
        <v>0</v>
      </c>
      <c r="AD26" s="2">
        <f t="shared" ref="AD26:AD31" si="25">ROUND((((ET26)-(EU26))+AE26),2)</f>
        <v>1.25</v>
      </c>
      <c r="AE26" s="2">
        <f t="shared" ref="AE26:AF31" si="26">ROUND((EU26),2)</f>
        <v>0.14000000000000001</v>
      </c>
      <c r="AF26" s="2">
        <f t="shared" si="26"/>
        <v>78.569999999999993</v>
      </c>
      <c r="AG26" s="2">
        <f t="shared" ref="AG26:AG31" si="27">ROUND((AP26),2)</f>
        <v>0</v>
      </c>
      <c r="AH26" s="2">
        <f t="shared" ref="AH26:AI31" si="28">(EW26)</f>
        <v>8.1</v>
      </c>
      <c r="AI26" s="2">
        <f t="shared" si="28"/>
        <v>0.01</v>
      </c>
      <c r="AJ26" s="2">
        <f t="shared" ref="AJ26:AJ31" si="29">(AS26)</f>
        <v>0</v>
      </c>
      <c r="AK26" s="2">
        <v>80</v>
      </c>
      <c r="AL26" s="2">
        <v>0.18</v>
      </c>
      <c r="AM26" s="2">
        <v>1.25</v>
      </c>
      <c r="AN26" s="2">
        <v>0.14000000000000001</v>
      </c>
      <c r="AO26" s="2">
        <v>78.569999999999993</v>
      </c>
      <c r="AP26" s="2">
        <v>0</v>
      </c>
      <c r="AQ26" s="2">
        <v>8.1</v>
      </c>
      <c r="AR26" s="2">
        <v>0.01</v>
      </c>
      <c r="AS26" s="2">
        <v>0</v>
      </c>
      <c r="AT26" s="2">
        <v>105</v>
      </c>
      <c r="AU26" s="2">
        <v>55</v>
      </c>
      <c r="AV26" s="2">
        <v>1</v>
      </c>
      <c r="AW26" s="2">
        <v>1</v>
      </c>
      <c r="AX26" s="2"/>
      <c r="AY26" s="2"/>
      <c r="AZ26" s="2">
        <v>1</v>
      </c>
      <c r="BA26" s="2">
        <v>1</v>
      </c>
      <c r="BB26" s="2">
        <v>1</v>
      </c>
      <c r="BC26" s="2">
        <v>1</v>
      </c>
      <c r="BD26" s="2" t="s">
        <v>6</v>
      </c>
      <c r="BE26" s="2" t="s">
        <v>6</v>
      </c>
      <c r="BF26" s="2" t="s">
        <v>6</v>
      </c>
      <c r="BG26" s="2" t="s">
        <v>6</v>
      </c>
      <c r="BH26" s="2">
        <v>0</v>
      </c>
      <c r="BI26" s="2">
        <v>1</v>
      </c>
      <c r="BJ26" s="2" t="s">
        <v>24</v>
      </c>
      <c r="BK26" s="2"/>
      <c r="BL26" s="2"/>
      <c r="BM26" s="2">
        <v>15001</v>
      </c>
      <c r="BN26" s="2">
        <v>0</v>
      </c>
      <c r="BO26" s="2" t="s">
        <v>6</v>
      </c>
      <c r="BP26" s="2">
        <v>0</v>
      </c>
      <c r="BQ26" s="2">
        <v>2</v>
      </c>
      <c r="BR26" s="2">
        <v>0</v>
      </c>
      <c r="BS26" s="2">
        <v>1</v>
      </c>
      <c r="BT26" s="2">
        <v>1</v>
      </c>
      <c r="BU26" s="2">
        <v>1</v>
      </c>
      <c r="BV26" s="2">
        <v>1</v>
      </c>
      <c r="BW26" s="2">
        <v>1</v>
      </c>
      <c r="BX26" s="2">
        <v>1</v>
      </c>
      <c r="BY26" s="2" t="s">
        <v>6</v>
      </c>
      <c r="BZ26" s="2">
        <v>105</v>
      </c>
      <c r="CA26" s="2">
        <v>55</v>
      </c>
      <c r="CB26" s="2" t="s">
        <v>6</v>
      </c>
      <c r="CC26" s="2"/>
      <c r="CD26" s="2"/>
      <c r="CE26" s="2">
        <v>0</v>
      </c>
      <c r="CF26" s="2">
        <v>0</v>
      </c>
      <c r="CG26" s="2">
        <v>0</v>
      </c>
      <c r="CH26" s="2"/>
      <c r="CI26" s="2"/>
      <c r="CJ26" s="2"/>
      <c r="CK26" s="2"/>
      <c r="CL26" s="2"/>
      <c r="CM26" s="2">
        <v>0</v>
      </c>
      <c r="CN26" s="2" t="s">
        <v>6</v>
      </c>
      <c r="CO26" s="2">
        <v>0</v>
      </c>
      <c r="CP26" s="2">
        <f t="shared" ref="CP26:CP31" si="30">(P26+Q26+S26)</f>
        <v>1530</v>
      </c>
      <c r="CQ26" s="2">
        <f t="shared" ref="CQ26:CQ31" si="31">AC26*BC26</f>
        <v>0</v>
      </c>
      <c r="CR26" s="2">
        <f t="shared" ref="CR26:CR31" si="32">AD26*BB26</f>
        <v>1.25</v>
      </c>
      <c r="CS26" s="2">
        <f t="shared" ref="CS26:CS31" si="33">AE26*BS26</f>
        <v>0.14000000000000001</v>
      </c>
      <c r="CT26" s="2">
        <f t="shared" ref="CT26:CT31" si="34">AF26*BA26</f>
        <v>78.569999999999993</v>
      </c>
      <c r="CU26" s="2">
        <f t="shared" ref="CU26:CX31" si="35">AG26</f>
        <v>0</v>
      </c>
      <c r="CV26" s="2">
        <f t="shared" si="35"/>
        <v>8.1</v>
      </c>
      <c r="CW26" s="2">
        <f t="shared" si="35"/>
        <v>0.01</v>
      </c>
      <c r="CX26" s="2">
        <f t="shared" si="35"/>
        <v>0</v>
      </c>
      <c r="CY26" s="2">
        <f>(((S26+R26)*AT26)/100)</f>
        <v>1584.45</v>
      </c>
      <c r="CZ26" s="2">
        <f>(((S26+R26)*AU26)/100)</f>
        <v>829.95</v>
      </c>
      <c r="DA26" s="2"/>
      <c r="DB26" s="2"/>
      <c r="DC26" s="2" t="s">
        <v>6</v>
      </c>
      <c r="DD26" s="2" t="s">
        <v>6</v>
      </c>
      <c r="DE26" s="2" t="s">
        <v>6</v>
      </c>
      <c r="DF26" s="2" t="s">
        <v>6</v>
      </c>
      <c r="DG26" s="2" t="s">
        <v>6</v>
      </c>
      <c r="DH26" s="2" t="s">
        <v>6</v>
      </c>
      <c r="DI26" s="2" t="s">
        <v>6</v>
      </c>
      <c r="DJ26" s="2" t="s">
        <v>6</v>
      </c>
      <c r="DK26" s="2" t="s">
        <v>6</v>
      </c>
      <c r="DL26" s="2" t="s">
        <v>6</v>
      </c>
      <c r="DM26" s="2" t="s">
        <v>6</v>
      </c>
      <c r="DN26" s="2">
        <v>0</v>
      </c>
      <c r="DO26" s="2">
        <v>0</v>
      </c>
      <c r="DP26" s="2">
        <v>1</v>
      </c>
      <c r="DQ26" s="2">
        <v>1</v>
      </c>
      <c r="DR26" s="2"/>
      <c r="DS26" s="2"/>
      <c r="DT26" s="2"/>
      <c r="DU26" s="2">
        <v>1013</v>
      </c>
      <c r="DV26" s="2" t="s">
        <v>23</v>
      </c>
      <c r="DW26" s="2" t="s">
        <v>23</v>
      </c>
      <c r="DX26" s="2">
        <v>1</v>
      </c>
      <c r="DY26" s="2"/>
      <c r="DZ26" s="2" t="s">
        <v>6</v>
      </c>
      <c r="EA26" s="2" t="s">
        <v>6</v>
      </c>
      <c r="EB26" s="2" t="s">
        <v>6</v>
      </c>
      <c r="EC26" s="2" t="s">
        <v>6</v>
      </c>
      <c r="ED26" s="2"/>
      <c r="EE26" s="2">
        <v>54328990</v>
      </c>
      <c r="EF26" s="2">
        <v>2</v>
      </c>
      <c r="EG26" s="2" t="s">
        <v>25</v>
      </c>
      <c r="EH26" s="2">
        <v>0</v>
      </c>
      <c r="EI26" s="2" t="s">
        <v>6</v>
      </c>
      <c r="EJ26" s="2">
        <v>1</v>
      </c>
      <c r="EK26" s="2">
        <v>15001</v>
      </c>
      <c r="EL26" s="2" t="s">
        <v>26</v>
      </c>
      <c r="EM26" s="2" t="s">
        <v>27</v>
      </c>
      <c r="EN26" s="2"/>
      <c r="EO26" s="2" t="s">
        <v>6</v>
      </c>
      <c r="EP26" s="2"/>
      <c r="EQ26" s="2">
        <v>131072</v>
      </c>
      <c r="ER26" s="2">
        <v>80</v>
      </c>
      <c r="ES26" s="2">
        <v>0.18</v>
      </c>
      <c r="ET26" s="2">
        <v>1.25</v>
      </c>
      <c r="EU26" s="2">
        <v>0.14000000000000001</v>
      </c>
      <c r="EV26" s="2">
        <v>78.569999999999993</v>
      </c>
      <c r="EW26" s="2">
        <v>8.1</v>
      </c>
      <c r="EX26" s="2">
        <v>0.01</v>
      </c>
      <c r="EY26" s="2">
        <v>1</v>
      </c>
      <c r="EZ26" s="2"/>
      <c r="FA26" s="2"/>
      <c r="FB26" s="2"/>
      <c r="FC26" s="2"/>
      <c r="FD26" s="2"/>
      <c r="FE26" s="2"/>
      <c r="FF26" s="2"/>
      <c r="FG26" s="2"/>
      <c r="FH26" s="2"/>
      <c r="FI26" s="2"/>
      <c r="FJ26" s="2"/>
      <c r="FK26" s="2"/>
      <c r="FL26" s="2"/>
      <c r="FM26" s="2"/>
      <c r="FN26" s="2"/>
      <c r="FO26" s="2"/>
      <c r="FP26" s="2"/>
      <c r="FQ26" s="2">
        <v>0</v>
      </c>
      <c r="FR26" s="2">
        <f t="shared" ref="FR26:FR31" si="36">ROUND(IF(BI26=3,GM26,0),0)</f>
        <v>0</v>
      </c>
      <c r="FS26" s="2">
        <v>0</v>
      </c>
      <c r="FT26" s="2"/>
      <c r="FU26" s="2"/>
      <c r="FV26" s="2"/>
      <c r="FW26" s="2"/>
      <c r="FX26" s="2">
        <v>105</v>
      </c>
      <c r="FY26" s="2">
        <v>55</v>
      </c>
      <c r="FZ26" s="2"/>
      <c r="GA26" s="2" t="s">
        <v>6</v>
      </c>
      <c r="GB26" s="2"/>
      <c r="GC26" s="2"/>
      <c r="GD26" s="2">
        <v>1</v>
      </c>
      <c r="GE26" s="2"/>
      <c r="GF26" s="2">
        <v>1398065674</v>
      </c>
      <c r="GG26" s="2">
        <v>2</v>
      </c>
      <c r="GH26" s="2">
        <v>1</v>
      </c>
      <c r="GI26" s="2">
        <v>-2</v>
      </c>
      <c r="GJ26" s="2">
        <v>0</v>
      </c>
      <c r="GK26" s="2">
        <v>0</v>
      </c>
      <c r="GL26" s="2">
        <f t="shared" ref="GL26:GL31" si="37">ROUND(IF(AND(BH26=3,BI26=3,FS26&lt;&gt;0),P26,0),0)</f>
        <v>0</v>
      </c>
      <c r="GM26" s="2">
        <f t="shared" ref="GM26:GM31" si="38">ROUND(O26+X26+Y26,0)+GX26</f>
        <v>3944</v>
      </c>
      <c r="GN26" s="2">
        <f t="shared" ref="GN26:GN31" si="39">IF(OR(BI26=0,BI26=1),GM26-GX26,0)</f>
        <v>3944</v>
      </c>
      <c r="GO26" s="2">
        <f t="shared" ref="GO26:GO31" si="40">IF(BI26=2,GM26-GX26,0)</f>
        <v>0</v>
      </c>
      <c r="GP26" s="2">
        <f t="shared" ref="GP26:GP31" si="41">IF(BI26=4,GM26-GX26,0)</f>
        <v>0</v>
      </c>
      <c r="GQ26" s="2"/>
      <c r="GR26" s="2">
        <v>0</v>
      </c>
      <c r="GS26" s="2">
        <v>3</v>
      </c>
      <c r="GT26" s="2">
        <v>0</v>
      </c>
      <c r="GU26" s="2" t="s">
        <v>6</v>
      </c>
      <c r="GV26" s="2">
        <f t="shared" ref="GV26:GV31" si="42">ROUND((GT26),2)</f>
        <v>0</v>
      </c>
      <c r="GW26" s="2">
        <v>1</v>
      </c>
      <c r="GX26" s="2">
        <f t="shared" ref="GX26:GX31" si="43">ROUND(HC26*I26,0)</f>
        <v>0</v>
      </c>
      <c r="GY26" s="2"/>
      <c r="GZ26" s="2"/>
      <c r="HA26" s="2">
        <v>0</v>
      </c>
      <c r="HB26" s="2">
        <v>0</v>
      </c>
      <c r="HC26" s="2">
        <f t="shared" ref="HC26:HC31" si="44">GV26*GW26</f>
        <v>0</v>
      </c>
      <c r="HD26" s="2"/>
      <c r="HE26" s="2" t="s">
        <v>6</v>
      </c>
      <c r="HF26" s="2" t="s">
        <v>6</v>
      </c>
      <c r="HG26" s="2"/>
      <c r="HH26" s="2"/>
      <c r="HI26" s="2"/>
      <c r="HJ26" s="2"/>
      <c r="HK26" s="2"/>
      <c r="HL26" s="2"/>
      <c r="HM26" s="2" t="s">
        <v>6</v>
      </c>
      <c r="HN26" s="2" t="s">
        <v>28</v>
      </c>
      <c r="HO26" s="2" t="s">
        <v>29</v>
      </c>
      <c r="HP26" s="2" t="s">
        <v>26</v>
      </c>
      <c r="HQ26" s="2" t="s">
        <v>26</v>
      </c>
      <c r="HR26" s="2"/>
      <c r="HS26" s="2"/>
      <c r="HT26" s="2"/>
      <c r="HU26" s="2"/>
      <c r="HV26" s="2"/>
      <c r="HW26" s="2"/>
      <c r="HX26" s="2"/>
      <c r="HY26" s="2"/>
      <c r="HZ26" s="2"/>
      <c r="IA26" s="2"/>
      <c r="IB26" s="2"/>
      <c r="IC26" s="2"/>
      <c r="ID26" s="2"/>
      <c r="IE26" s="2"/>
      <c r="IF26" s="2">
        <v>-1</v>
      </c>
      <c r="IG26" s="2"/>
      <c r="IH26" s="2"/>
      <c r="II26" s="2"/>
      <c r="IJ26" s="2"/>
      <c r="IK26" s="2">
        <v>0</v>
      </c>
      <c r="IL26" s="2"/>
      <c r="IM26" s="2"/>
      <c r="IN26" s="2"/>
      <c r="IO26" s="2"/>
      <c r="IP26" s="2"/>
      <c r="IQ26" s="2"/>
      <c r="IR26" s="2"/>
      <c r="IS26" s="2"/>
      <c r="IT26" s="2"/>
      <c r="IU26" s="2"/>
    </row>
    <row r="27" spans="1:255" x14ac:dyDescent="0.2">
      <c r="A27">
        <v>17</v>
      </c>
      <c r="B27">
        <v>1</v>
      </c>
      <c r="C27">
        <f>ROW(SmtRes!A12)</f>
        <v>12</v>
      </c>
      <c r="D27">
        <f>ROW(EtalonRes!A12)</f>
        <v>12</v>
      </c>
      <c r="E27" t="s">
        <v>20</v>
      </c>
      <c r="F27" t="s">
        <v>21</v>
      </c>
      <c r="G27" t="s">
        <v>22</v>
      </c>
      <c r="H27" t="s">
        <v>23</v>
      </c>
      <c r="I27">
        <f>'2.Лок.смета.и.Акт'!E26</f>
        <v>19.164000000000001</v>
      </c>
      <c r="J27">
        <v>0</v>
      </c>
      <c r="K27">
        <v>19.164000000000001</v>
      </c>
      <c r="O27">
        <f t="shared" si="14"/>
        <v>52404</v>
      </c>
      <c r="P27">
        <f t="shared" si="15"/>
        <v>0</v>
      </c>
      <c r="Q27">
        <f t="shared" si="16"/>
        <v>306</v>
      </c>
      <c r="R27">
        <f t="shared" si="17"/>
        <v>81</v>
      </c>
      <c r="S27">
        <f t="shared" si="18"/>
        <v>52098</v>
      </c>
      <c r="T27">
        <f t="shared" si="19"/>
        <v>0</v>
      </c>
      <c r="U27" t="e">
        <f t="shared" si="20"/>
        <v>#REF!</v>
      </c>
      <c r="V27">
        <f t="shared" si="21"/>
        <v>0.19164000000000003</v>
      </c>
      <c r="W27">
        <f t="shared" si="22"/>
        <v>0</v>
      </c>
      <c r="X27" t="e">
        <f t="shared" si="23"/>
        <v>#REF!</v>
      </c>
      <c r="Y27" t="e">
        <f t="shared" si="23"/>
        <v>#REF!</v>
      </c>
      <c r="AA27">
        <v>74242617</v>
      </c>
      <c r="AB27">
        <f t="shared" si="24"/>
        <v>79.819999999999993</v>
      </c>
      <c r="AC27">
        <f>ROUND((ES27+(SUM(SmtRes!BC7:'SmtRes'!BC12)+SUM(EtalonRes!AL7:'EtalonRes'!AL12))),2)</f>
        <v>0</v>
      </c>
      <c r="AD27">
        <f t="shared" si="25"/>
        <v>1.25</v>
      </c>
      <c r="AE27">
        <f t="shared" si="26"/>
        <v>0.14000000000000001</v>
      </c>
      <c r="AF27">
        <f t="shared" si="26"/>
        <v>78.569999999999993</v>
      </c>
      <c r="AG27">
        <f t="shared" si="27"/>
        <v>0</v>
      </c>
      <c r="AH27" t="e">
        <f t="shared" si="28"/>
        <v>#REF!</v>
      </c>
      <c r="AI27">
        <f t="shared" si="28"/>
        <v>0.01</v>
      </c>
      <c r="AJ27">
        <f t="shared" si="29"/>
        <v>0</v>
      </c>
      <c r="AK27">
        <f>AL27+AM27+AO27</f>
        <v>80</v>
      </c>
      <c r="AL27">
        <v>0.18</v>
      </c>
      <c r="AM27" s="76">
        <f>'1.Лок.смета.и.Акт'!F54</f>
        <v>1.25</v>
      </c>
      <c r="AN27" s="76">
        <f>'1.Лок.смета.и.Акт'!F55</f>
        <v>0.14000000000000001</v>
      </c>
      <c r="AO27" s="76">
        <f>'1.Лок.смета.и.Акт'!F53</f>
        <v>78.569999999999993</v>
      </c>
      <c r="AP27">
        <v>0</v>
      </c>
      <c r="AQ27" t="e">
        <f>'2.Лок.смета.и.Акт'!#REF!</f>
        <v>#REF!</v>
      </c>
      <c r="AR27">
        <v>0.01</v>
      </c>
      <c r="AS27">
        <v>0</v>
      </c>
      <c r="AT27">
        <v>105</v>
      </c>
      <c r="AU27">
        <v>55</v>
      </c>
      <c r="AV27">
        <v>1</v>
      </c>
      <c r="AW27">
        <v>1</v>
      </c>
      <c r="AZ27">
        <v>1</v>
      </c>
      <c r="BA27">
        <f>'1.Лок.смета.и.Акт'!J53</f>
        <v>34.6</v>
      </c>
      <c r="BB27">
        <f>'1.Лок.смета.и.Акт'!J54</f>
        <v>12.77</v>
      </c>
      <c r="BC27">
        <v>7.56</v>
      </c>
      <c r="BD27" t="s">
        <v>6</v>
      </c>
      <c r="BE27" t="s">
        <v>6</v>
      </c>
      <c r="BF27" t="s">
        <v>6</v>
      </c>
      <c r="BG27" t="s">
        <v>6</v>
      </c>
      <c r="BH27">
        <v>0</v>
      </c>
      <c r="BI27">
        <v>1</v>
      </c>
      <c r="BJ27" t="s">
        <v>24</v>
      </c>
      <c r="BM27">
        <v>15001</v>
      </c>
      <c r="BN27">
        <v>0</v>
      </c>
      <c r="BO27" t="s">
        <v>21</v>
      </c>
      <c r="BP27">
        <v>1</v>
      </c>
      <c r="BQ27">
        <v>2</v>
      </c>
      <c r="BR27">
        <v>0</v>
      </c>
      <c r="BS27">
        <f>'1.Лок.смета.и.Акт'!J55</f>
        <v>30.1</v>
      </c>
      <c r="BT27">
        <v>1</v>
      </c>
      <c r="BU27">
        <v>1</v>
      </c>
      <c r="BV27">
        <v>1</v>
      </c>
      <c r="BW27">
        <v>1</v>
      </c>
      <c r="BX27">
        <v>1</v>
      </c>
      <c r="BY27" t="s">
        <v>6</v>
      </c>
      <c r="BZ27" t="e">
        <f>'2.Лок.смета.и.Акт'!#REF!</f>
        <v>#REF!</v>
      </c>
      <c r="CA27" t="e">
        <f>'2.Лок.смета.и.Акт'!#REF!</f>
        <v>#REF!</v>
      </c>
      <c r="CB27" t="s">
        <v>6</v>
      </c>
      <c r="CE27">
        <v>0</v>
      </c>
      <c r="CF27">
        <v>0</v>
      </c>
      <c r="CG27">
        <v>0</v>
      </c>
      <c r="CM27">
        <v>0</v>
      </c>
      <c r="CN27" t="s">
        <v>6</v>
      </c>
      <c r="CO27">
        <v>0</v>
      </c>
      <c r="CP27">
        <f t="shared" si="30"/>
        <v>52404</v>
      </c>
      <c r="CQ27">
        <f t="shared" si="31"/>
        <v>0</v>
      </c>
      <c r="CR27">
        <f t="shared" si="32"/>
        <v>15.962499999999999</v>
      </c>
      <c r="CS27">
        <f t="shared" si="33"/>
        <v>4.2140000000000004</v>
      </c>
      <c r="CT27">
        <f t="shared" si="34"/>
        <v>2718.5219999999999</v>
      </c>
      <c r="CU27">
        <f t="shared" si="35"/>
        <v>0</v>
      </c>
      <c r="CV27" t="e">
        <f t="shared" si="35"/>
        <v>#REF!</v>
      </c>
      <c r="CW27">
        <f t="shared" si="35"/>
        <v>0.01</v>
      </c>
      <c r="CX27">
        <f t="shared" si="35"/>
        <v>0</v>
      </c>
      <c r="CY27" t="e">
        <f>(S27+R27)*(BZ27/100)</f>
        <v>#REF!</v>
      </c>
      <c r="CZ27" t="e">
        <f>(S27+R27)*(CA27/100)</f>
        <v>#REF!</v>
      </c>
      <c r="DC27" t="s">
        <v>6</v>
      </c>
      <c r="DD27" t="s">
        <v>6</v>
      </c>
      <c r="DE27" t="s">
        <v>6</v>
      </c>
      <c r="DF27" t="s">
        <v>6</v>
      </c>
      <c r="DG27" t="s">
        <v>6</v>
      </c>
      <c r="DH27" t="s">
        <v>6</v>
      </c>
      <c r="DI27" t="s">
        <v>6</v>
      </c>
      <c r="DJ27" t="s">
        <v>6</v>
      </c>
      <c r="DK27" t="s">
        <v>6</v>
      </c>
      <c r="DL27" t="s">
        <v>6</v>
      </c>
      <c r="DM27" t="s">
        <v>6</v>
      </c>
      <c r="DN27">
        <f>'1.Лок.смета.и.Акт'!E56</f>
        <v>105</v>
      </c>
      <c r="DO27">
        <f>'1.Лок.смета.и.Акт'!E57</f>
        <v>55</v>
      </c>
      <c r="DP27">
        <v>1</v>
      </c>
      <c r="DQ27">
        <v>1</v>
      </c>
      <c r="DU27">
        <v>1013</v>
      </c>
      <c r="DV27" t="s">
        <v>23</v>
      </c>
      <c r="DW27" t="str">
        <f>'2.Лок.смета.и.Акт'!D26</f>
        <v>100 м2 покрытия</v>
      </c>
      <c r="DX27">
        <v>1</v>
      </c>
      <c r="DZ27" t="s">
        <v>6</v>
      </c>
      <c r="EA27" t="s">
        <v>6</v>
      </c>
      <c r="EB27" t="s">
        <v>6</v>
      </c>
      <c r="EC27" t="s">
        <v>6</v>
      </c>
      <c r="EE27">
        <v>54328990</v>
      </c>
      <c r="EF27">
        <v>2</v>
      </c>
      <c r="EG27" t="s">
        <v>25</v>
      </c>
      <c r="EH27">
        <v>0</v>
      </c>
      <c r="EI27" t="s">
        <v>6</v>
      </c>
      <c r="EJ27">
        <v>1</v>
      </c>
      <c r="EK27">
        <v>15001</v>
      </c>
      <c r="EL27" t="s">
        <v>26</v>
      </c>
      <c r="EM27" t="s">
        <v>27</v>
      </c>
      <c r="EO27" t="s">
        <v>6</v>
      </c>
      <c r="EQ27">
        <v>131072</v>
      </c>
      <c r="ER27">
        <f>ES27+ET27+EV27</f>
        <v>80</v>
      </c>
      <c r="ES27">
        <v>0.18</v>
      </c>
      <c r="ET27" s="76">
        <f>'1.Лок.смета.и.Акт'!F54</f>
        <v>1.25</v>
      </c>
      <c r="EU27" s="76">
        <f>'1.Лок.смета.и.Акт'!F55</f>
        <v>0.14000000000000001</v>
      </c>
      <c r="EV27" s="76">
        <f>'1.Лок.смета.и.Акт'!F53</f>
        <v>78.569999999999993</v>
      </c>
      <c r="EW27" t="e">
        <f>'2.Лок.смета.и.Акт'!#REF!</f>
        <v>#REF!</v>
      </c>
      <c r="EX27">
        <v>0.01</v>
      </c>
      <c r="EY27">
        <v>1</v>
      </c>
      <c r="FQ27">
        <v>0</v>
      </c>
      <c r="FR27">
        <f t="shared" si="36"/>
        <v>0</v>
      </c>
      <c r="FS27">
        <v>0</v>
      </c>
      <c r="FX27">
        <v>105</v>
      </c>
      <c r="FY27">
        <v>55</v>
      </c>
      <c r="GA27" t="s">
        <v>6</v>
      </c>
      <c r="GD27">
        <v>1</v>
      </c>
      <c r="GF27">
        <v>1398065674</v>
      </c>
      <c r="GG27">
        <v>2</v>
      </c>
      <c r="GH27">
        <v>1</v>
      </c>
      <c r="GI27">
        <v>2</v>
      </c>
      <c r="GJ27">
        <v>0</v>
      </c>
      <c r="GK27">
        <v>0</v>
      </c>
      <c r="GL27">
        <f t="shared" si="37"/>
        <v>0</v>
      </c>
      <c r="GM27" t="e">
        <f t="shared" si="38"/>
        <v>#REF!</v>
      </c>
      <c r="GN27" t="e">
        <f t="shared" si="39"/>
        <v>#REF!</v>
      </c>
      <c r="GO27">
        <f t="shared" si="40"/>
        <v>0</v>
      </c>
      <c r="GP27">
        <f t="shared" si="41"/>
        <v>0</v>
      </c>
      <c r="GR27">
        <v>0</v>
      </c>
      <c r="GS27">
        <v>3</v>
      </c>
      <c r="GT27">
        <v>0</v>
      </c>
      <c r="GU27" t="s">
        <v>6</v>
      </c>
      <c r="GV27">
        <f t="shared" si="42"/>
        <v>0</v>
      </c>
      <c r="GW27">
        <v>1009.4</v>
      </c>
      <c r="GX27">
        <f t="shared" si="43"/>
        <v>0</v>
      </c>
      <c r="HA27">
        <v>0</v>
      </c>
      <c r="HB27">
        <v>0</v>
      </c>
      <c r="HC27">
        <f t="shared" si="44"/>
        <v>0</v>
      </c>
      <c r="HE27" t="s">
        <v>6</v>
      </c>
      <c r="HF27" t="s">
        <v>6</v>
      </c>
      <c r="HM27" t="s">
        <v>6</v>
      </c>
      <c r="HN27" t="s">
        <v>28</v>
      </c>
      <c r="HO27" t="s">
        <v>29</v>
      </c>
      <c r="HP27" t="s">
        <v>26</v>
      </c>
      <c r="HQ27" t="s">
        <v>26</v>
      </c>
      <c r="IF27">
        <v>-1</v>
      </c>
      <c r="IK27">
        <v>0</v>
      </c>
    </row>
    <row r="28" spans="1:255" x14ac:dyDescent="0.2">
      <c r="A28" s="2">
        <v>18</v>
      </c>
      <c r="B28" s="2">
        <v>1</v>
      </c>
      <c r="C28" s="2">
        <v>5</v>
      </c>
      <c r="D28" s="2"/>
      <c r="E28" s="2" t="s">
        <v>30</v>
      </c>
      <c r="F28" s="2" t="s">
        <v>31</v>
      </c>
      <c r="G28" s="2" t="s">
        <v>32</v>
      </c>
      <c r="H28" s="2" t="s">
        <v>33</v>
      </c>
      <c r="I28" s="2">
        <f>I26*J28</f>
        <v>1.9163999999999999</v>
      </c>
      <c r="J28" s="207">
        <f>'5.Ведомость_списания'!F29</f>
        <v>9.9999999999999992E-2</v>
      </c>
      <c r="K28" s="2">
        <v>0.1</v>
      </c>
      <c r="L28" s="2"/>
      <c r="M28" s="2"/>
      <c r="N28" s="2"/>
      <c r="O28" s="2">
        <f t="shared" si="14"/>
        <v>3</v>
      </c>
      <c r="P28" s="2">
        <f t="shared" si="15"/>
        <v>3</v>
      </c>
      <c r="Q28" s="2">
        <f t="shared" si="16"/>
        <v>0</v>
      </c>
      <c r="R28" s="2">
        <f t="shared" si="17"/>
        <v>0</v>
      </c>
      <c r="S28" s="2">
        <f t="shared" si="18"/>
        <v>0</v>
      </c>
      <c r="T28" s="2">
        <f t="shared" si="19"/>
        <v>0</v>
      </c>
      <c r="U28" s="2">
        <f t="shared" si="20"/>
        <v>0</v>
      </c>
      <c r="V28" s="2">
        <f t="shared" si="21"/>
        <v>0</v>
      </c>
      <c r="W28" s="2">
        <f t="shared" si="22"/>
        <v>0</v>
      </c>
      <c r="X28" s="2">
        <f t="shared" si="23"/>
        <v>0</v>
      </c>
      <c r="Y28" s="2">
        <f t="shared" si="23"/>
        <v>0</v>
      </c>
      <c r="Z28" s="2"/>
      <c r="AA28" s="2">
        <v>74242616</v>
      </c>
      <c r="AB28" s="2">
        <f t="shared" si="24"/>
        <v>1.82</v>
      </c>
      <c r="AC28" s="2">
        <f>ROUND((ES28),2)</f>
        <v>1.82</v>
      </c>
      <c r="AD28" s="2">
        <f t="shared" si="25"/>
        <v>0</v>
      </c>
      <c r="AE28" s="2">
        <f t="shared" si="26"/>
        <v>0</v>
      </c>
      <c r="AF28" s="2">
        <f t="shared" si="26"/>
        <v>0</v>
      </c>
      <c r="AG28" s="2">
        <f t="shared" si="27"/>
        <v>0</v>
      </c>
      <c r="AH28" s="2">
        <f t="shared" si="28"/>
        <v>0</v>
      </c>
      <c r="AI28" s="2">
        <f t="shared" si="28"/>
        <v>0</v>
      </c>
      <c r="AJ28" s="2">
        <f t="shared" si="29"/>
        <v>0</v>
      </c>
      <c r="AK28" s="2">
        <v>1.82</v>
      </c>
      <c r="AL28" s="111">
        <f>'1.Лок.смета.и.Акт'!F59</f>
        <v>1.82</v>
      </c>
      <c r="AM28" s="2">
        <v>0</v>
      </c>
      <c r="AN28" s="2">
        <v>0</v>
      </c>
      <c r="AO28" s="2">
        <v>0</v>
      </c>
      <c r="AP28" s="2">
        <v>0</v>
      </c>
      <c r="AQ28" s="2">
        <v>0</v>
      </c>
      <c r="AR28" s="2">
        <v>0</v>
      </c>
      <c r="AS28" s="2">
        <v>0</v>
      </c>
      <c r="AT28" s="2">
        <v>0</v>
      </c>
      <c r="AU28" s="2">
        <v>0</v>
      </c>
      <c r="AV28" s="2">
        <v>1</v>
      </c>
      <c r="AW28" s="2">
        <v>1</v>
      </c>
      <c r="AX28" s="2"/>
      <c r="AY28" s="2"/>
      <c r="AZ28" s="2">
        <v>1</v>
      </c>
      <c r="BA28" s="2">
        <v>1</v>
      </c>
      <c r="BB28" s="2">
        <v>1</v>
      </c>
      <c r="BC28" s="2">
        <v>1</v>
      </c>
      <c r="BD28" s="2" t="s">
        <v>6</v>
      </c>
      <c r="BE28" s="2" t="s">
        <v>6</v>
      </c>
      <c r="BF28" s="2" t="s">
        <v>6</v>
      </c>
      <c r="BG28" s="2" t="s">
        <v>6</v>
      </c>
      <c r="BH28" s="2">
        <v>3</v>
      </c>
      <c r="BI28" s="2">
        <v>1</v>
      </c>
      <c r="BJ28" s="2" t="s">
        <v>34</v>
      </c>
      <c r="BK28" s="2"/>
      <c r="BL28" s="2"/>
      <c r="BM28" s="2">
        <v>500001</v>
      </c>
      <c r="BN28" s="2">
        <v>0</v>
      </c>
      <c r="BO28" s="2" t="s">
        <v>6</v>
      </c>
      <c r="BP28" s="2">
        <v>0</v>
      </c>
      <c r="BQ28" s="2">
        <v>8</v>
      </c>
      <c r="BR28" s="2">
        <v>0</v>
      </c>
      <c r="BS28" s="2">
        <v>1</v>
      </c>
      <c r="BT28" s="2">
        <v>1</v>
      </c>
      <c r="BU28" s="2">
        <v>1</v>
      </c>
      <c r="BV28" s="2">
        <v>1</v>
      </c>
      <c r="BW28" s="2">
        <v>1</v>
      </c>
      <c r="BX28" s="2">
        <v>1</v>
      </c>
      <c r="BY28" s="2" t="s">
        <v>6</v>
      </c>
      <c r="BZ28" s="2">
        <v>0</v>
      </c>
      <c r="CA28" s="2">
        <v>0</v>
      </c>
      <c r="CB28" s="2" t="s">
        <v>6</v>
      </c>
      <c r="CC28" s="2"/>
      <c r="CD28" s="2"/>
      <c r="CE28" s="2">
        <v>0</v>
      </c>
      <c r="CF28" s="2">
        <v>0</v>
      </c>
      <c r="CG28" s="2">
        <v>0</v>
      </c>
      <c r="CH28" s="2"/>
      <c r="CI28" s="2"/>
      <c r="CJ28" s="2"/>
      <c r="CK28" s="2"/>
      <c r="CL28" s="2"/>
      <c r="CM28" s="2">
        <v>0</v>
      </c>
      <c r="CN28" s="2" t="s">
        <v>6</v>
      </c>
      <c r="CO28" s="2">
        <v>0</v>
      </c>
      <c r="CP28" s="2">
        <f t="shared" si="30"/>
        <v>3</v>
      </c>
      <c r="CQ28" s="2">
        <f t="shared" si="31"/>
        <v>1.82</v>
      </c>
      <c r="CR28" s="2">
        <f t="shared" si="32"/>
        <v>0</v>
      </c>
      <c r="CS28" s="2">
        <f t="shared" si="33"/>
        <v>0</v>
      </c>
      <c r="CT28" s="2">
        <f t="shared" si="34"/>
        <v>0</v>
      </c>
      <c r="CU28" s="2">
        <f t="shared" si="35"/>
        <v>0</v>
      </c>
      <c r="CV28" s="2">
        <f t="shared" si="35"/>
        <v>0</v>
      </c>
      <c r="CW28" s="2">
        <f t="shared" si="35"/>
        <v>0</v>
      </c>
      <c r="CX28" s="2">
        <f t="shared" si="35"/>
        <v>0</v>
      </c>
      <c r="CY28" s="2">
        <f>(((S28+R28)*AT28)/100)</f>
        <v>0</v>
      </c>
      <c r="CZ28" s="2">
        <f>(((S28+R28)*AU28)/100)</f>
        <v>0</v>
      </c>
      <c r="DA28" s="2"/>
      <c r="DB28" s="2"/>
      <c r="DC28" s="2" t="s">
        <v>6</v>
      </c>
      <c r="DD28" s="2" t="s">
        <v>6</v>
      </c>
      <c r="DE28" s="2" t="s">
        <v>6</v>
      </c>
      <c r="DF28" s="2" t="s">
        <v>6</v>
      </c>
      <c r="DG28" s="2" t="s">
        <v>6</v>
      </c>
      <c r="DH28" s="2" t="s">
        <v>6</v>
      </c>
      <c r="DI28" s="2" t="s">
        <v>6</v>
      </c>
      <c r="DJ28" s="2" t="s">
        <v>6</v>
      </c>
      <c r="DK28" s="2" t="s">
        <v>6</v>
      </c>
      <c r="DL28" s="2" t="s">
        <v>6</v>
      </c>
      <c r="DM28" s="2" t="s">
        <v>6</v>
      </c>
      <c r="DN28" s="2">
        <v>0</v>
      </c>
      <c r="DO28" s="2">
        <v>0</v>
      </c>
      <c r="DP28" s="2">
        <v>1</v>
      </c>
      <c r="DQ28" s="2">
        <v>1</v>
      </c>
      <c r="DR28" s="2"/>
      <c r="DS28" s="2"/>
      <c r="DT28" s="2"/>
      <c r="DU28" s="2">
        <v>1009</v>
      </c>
      <c r="DV28" s="2" t="s">
        <v>33</v>
      </c>
      <c r="DW28" s="2" t="s">
        <v>33</v>
      </c>
      <c r="DX28" s="2">
        <v>1</v>
      </c>
      <c r="DY28" s="2"/>
      <c r="DZ28" s="2" t="s">
        <v>6</v>
      </c>
      <c r="EA28" s="2" t="s">
        <v>6</v>
      </c>
      <c r="EB28" s="2" t="s">
        <v>6</v>
      </c>
      <c r="EC28" s="2" t="s">
        <v>6</v>
      </c>
      <c r="ED28" s="2"/>
      <c r="EE28" s="2">
        <v>54328897</v>
      </c>
      <c r="EF28" s="2">
        <v>8</v>
      </c>
      <c r="EG28" s="2" t="s">
        <v>35</v>
      </c>
      <c r="EH28" s="2">
        <v>0</v>
      </c>
      <c r="EI28" s="2" t="s">
        <v>6</v>
      </c>
      <c r="EJ28" s="2">
        <v>1</v>
      </c>
      <c r="EK28" s="2">
        <v>500001</v>
      </c>
      <c r="EL28" s="2" t="s">
        <v>36</v>
      </c>
      <c r="EM28" s="2" t="s">
        <v>37</v>
      </c>
      <c r="EN28" s="2"/>
      <c r="EO28" s="2" t="s">
        <v>6</v>
      </c>
      <c r="EP28" s="2"/>
      <c r="EQ28" s="2">
        <v>0</v>
      </c>
      <c r="ER28" s="2">
        <v>1.82</v>
      </c>
      <c r="ES28" s="111">
        <f>'1.Лок.смета.и.Акт'!F59</f>
        <v>1.82</v>
      </c>
      <c r="ET28" s="2">
        <v>0</v>
      </c>
      <c r="EU28" s="2">
        <v>0</v>
      </c>
      <c r="EV28" s="2">
        <v>0</v>
      </c>
      <c r="EW28" s="2">
        <v>0</v>
      </c>
      <c r="EX28" s="2">
        <v>0</v>
      </c>
      <c r="EY28" s="2"/>
      <c r="EZ28" s="2"/>
      <c r="FA28" s="2"/>
      <c r="FB28" s="2"/>
      <c r="FC28" s="2"/>
      <c r="FD28" s="2"/>
      <c r="FE28" s="2"/>
      <c r="FF28" s="2"/>
      <c r="FG28" s="2"/>
      <c r="FH28" s="2"/>
      <c r="FI28" s="2"/>
      <c r="FJ28" s="2"/>
      <c r="FK28" s="2"/>
      <c r="FL28" s="2"/>
      <c r="FM28" s="2"/>
      <c r="FN28" s="2"/>
      <c r="FO28" s="2"/>
      <c r="FP28" s="2"/>
      <c r="FQ28" s="2">
        <v>0</v>
      </c>
      <c r="FR28" s="2">
        <f t="shared" si="36"/>
        <v>0</v>
      </c>
      <c r="FS28" s="2">
        <v>0</v>
      </c>
      <c r="FT28" s="2"/>
      <c r="FU28" s="2"/>
      <c r="FV28" s="2"/>
      <c r="FW28" s="2"/>
      <c r="FX28" s="2">
        <v>0</v>
      </c>
      <c r="FY28" s="2">
        <v>0</v>
      </c>
      <c r="FZ28" s="2"/>
      <c r="GA28" s="2" t="s">
        <v>6</v>
      </c>
      <c r="GB28" s="2"/>
      <c r="GC28" s="2"/>
      <c r="GD28" s="2">
        <v>1</v>
      </c>
      <c r="GE28" s="2"/>
      <c r="GF28" s="2">
        <v>-386994921</v>
      </c>
      <c r="GG28" s="2">
        <v>2</v>
      </c>
      <c r="GH28" s="2">
        <v>0</v>
      </c>
      <c r="GI28" s="2">
        <v>-2</v>
      </c>
      <c r="GJ28" s="2">
        <v>0</v>
      </c>
      <c r="GK28" s="2">
        <v>0</v>
      </c>
      <c r="GL28" s="2">
        <f t="shared" si="37"/>
        <v>0</v>
      </c>
      <c r="GM28" s="2">
        <f t="shared" si="38"/>
        <v>3</v>
      </c>
      <c r="GN28" s="2">
        <f t="shared" si="39"/>
        <v>3</v>
      </c>
      <c r="GO28" s="2">
        <f t="shared" si="40"/>
        <v>0</v>
      </c>
      <c r="GP28" s="2">
        <f t="shared" si="41"/>
        <v>0</v>
      </c>
      <c r="GQ28" s="2"/>
      <c r="GR28" s="2">
        <v>0</v>
      </c>
      <c r="GS28" s="2">
        <v>3</v>
      </c>
      <c r="GT28" s="2">
        <v>0</v>
      </c>
      <c r="GU28" s="2" t="s">
        <v>6</v>
      </c>
      <c r="GV28" s="2">
        <f t="shared" si="42"/>
        <v>0</v>
      </c>
      <c r="GW28" s="2">
        <v>1</v>
      </c>
      <c r="GX28" s="2">
        <f t="shared" si="43"/>
        <v>0</v>
      </c>
      <c r="GY28" s="2"/>
      <c r="GZ28" s="2"/>
      <c r="HA28" s="2">
        <v>0</v>
      </c>
      <c r="HB28" s="2">
        <v>0</v>
      </c>
      <c r="HC28" s="2">
        <f t="shared" si="44"/>
        <v>0</v>
      </c>
      <c r="HD28" s="2"/>
      <c r="HE28" s="2" t="s">
        <v>6</v>
      </c>
      <c r="HF28" s="2" t="s">
        <v>6</v>
      </c>
      <c r="HG28" s="2"/>
      <c r="HH28" s="2"/>
      <c r="HI28" s="2"/>
      <c r="HJ28" s="2"/>
      <c r="HK28" s="2"/>
      <c r="HL28" s="2"/>
      <c r="HM28" s="2" t="s">
        <v>6</v>
      </c>
      <c r="HN28" s="2" t="s">
        <v>6</v>
      </c>
      <c r="HO28" s="2" t="s">
        <v>6</v>
      </c>
      <c r="HP28" s="2" t="s">
        <v>6</v>
      </c>
      <c r="HQ28" s="2" t="s">
        <v>6</v>
      </c>
      <c r="HR28" s="2"/>
      <c r="HS28" s="2"/>
      <c r="HT28" s="2"/>
      <c r="HU28" s="2"/>
      <c r="HV28" s="2"/>
      <c r="HW28" s="2"/>
      <c r="HX28" s="2"/>
      <c r="HY28" s="2"/>
      <c r="HZ28" s="2"/>
      <c r="IA28" s="2"/>
      <c r="IB28" s="2"/>
      <c r="IC28" s="2"/>
      <c r="ID28" s="2"/>
      <c r="IE28" s="2"/>
      <c r="IF28" s="2">
        <v>-1</v>
      </c>
      <c r="IG28" s="2"/>
      <c r="IH28" s="2"/>
      <c r="II28" s="2"/>
      <c r="IJ28" s="2"/>
      <c r="IK28" s="2">
        <v>0</v>
      </c>
      <c r="IL28" s="2"/>
      <c r="IM28" s="2"/>
      <c r="IN28" s="2"/>
      <c r="IO28" s="2"/>
      <c r="IP28" s="2"/>
      <c r="IQ28" s="2"/>
      <c r="IR28" s="2"/>
      <c r="IS28" s="2"/>
      <c r="IT28" s="2"/>
      <c r="IU28" s="2"/>
    </row>
    <row r="29" spans="1:255" x14ac:dyDescent="0.2">
      <c r="A29">
        <v>18</v>
      </c>
      <c r="B29">
        <v>1</v>
      </c>
      <c r="C29">
        <v>11</v>
      </c>
      <c r="E29" t="s">
        <v>30</v>
      </c>
      <c r="F29" t="e">
        <f>'2.Лок.смета.и.Акт'!#REF!</f>
        <v>#REF!</v>
      </c>
      <c r="G29" t="s">
        <v>32</v>
      </c>
      <c r="H29" t="s">
        <v>33</v>
      </c>
      <c r="I29">
        <f>I27*J29</f>
        <v>1.9163999999999999</v>
      </c>
      <c r="J29">
        <v>9.9999999999999992E-2</v>
      </c>
      <c r="K29">
        <v>0.1</v>
      </c>
      <c r="O29">
        <f t="shared" si="14"/>
        <v>62</v>
      </c>
      <c r="P29">
        <f t="shared" si="15"/>
        <v>62</v>
      </c>
      <c r="Q29">
        <f t="shared" si="16"/>
        <v>0</v>
      </c>
      <c r="R29">
        <f t="shared" si="17"/>
        <v>0</v>
      </c>
      <c r="S29">
        <f t="shared" si="18"/>
        <v>0</v>
      </c>
      <c r="T29">
        <f t="shared" si="19"/>
        <v>0</v>
      </c>
      <c r="U29">
        <f t="shared" si="20"/>
        <v>0</v>
      </c>
      <c r="V29">
        <f t="shared" si="21"/>
        <v>0</v>
      </c>
      <c r="W29">
        <f t="shared" si="22"/>
        <v>0</v>
      </c>
      <c r="X29">
        <f t="shared" si="23"/>
        <v>0</v>
      </c>
      <c r="Y29">
        <f t="shared" si="23"/>
        <v>0</v>
      </c>
      <c r="AA29">
        <v>74242617</v>
      </c>
      <c r="AB29">
        <f t="shared" si="24"/>
        <v>4.28</v>
      </c>
      <c r="AC29">
        <f>ROUND((ES29),2)</f>
        <v>4.28</v>
      </c>
      <c r="AD29">
        <f t="shared" si="25"/>
        <v>0</v>
      </c>
      <c r="AE29">
        <f t="shared" si="26"/>
        <v>0</v>
      </c>
      <c r="AF29">
        <f t="shared" si="26"/>
        <v>0</v>
      </c>
      <c r="AG29">
        <f t="shared" si="27"/>
        <v>0</v>
      </c>
      <c r="AH29">
        <f t="shared" si="28"/>
        <v>0</v>
      </c>
      <c r="AI29">
        <f t="shared" si="28"/>
        <v>0</v>
      </c>
      <c r="AJ29">
        <f t="shared" si="29"/>
        <v>0</v>
      </c>
      <c r="AK29">
        <v>4.2799999999999994</v>
      </c>
      <c r="AL29">
        <v>4.2799999999999994</v>
      </c>
      <c r="AM29">
        <v>0</v>
      </c>
      <c r="AN29">
        <v>0</v>
      </c>
      <c r="AO29">
        <v>0</v>
      </c>
      <c r="AP29">
        <v>0</v>
      </c>
      <c r="AQ29">
        <v>0</v>
      </c>
      <c r="AR29">
        <v>0</v>
      </c>
      <c r="AS29">
        <v>0</v>
      </c>
      <c r="AT29">
        <v>0</v>
      </c>
      <c r="AU29">
        <v>0</v>
      </c>
      <c r="AV29">
        <v>1</v>
      </c>
      <c r="AW29">
        <v>1</v>
      </c>
      <c r="AZ29">
        <v>1</v>
      </c>
      <c r="BA29">
        <v>1</v>
      </c>
      <c r="BB29">
        <v>1</v>
      </c>
      <c r="BC29">
        <v>7.56</v>
      </c>
      <c r="BD29" t="s">
        <v>6</v>
      </c>
      <c r="BE29" t="s">
        <v>6</v>
      </c>
      <c r="BF29" t="s">
        <v>6</v>
      </c>
      <c r="BG29" t="s">
        <v>6</v>
      </c>
      <c r="BH29">
        <v>3</v>
      </c>
      <c r="BI29">
        <v>1</v>
      </c>
      <c r="BJ29" t="s">
        <v>34</v>
      </c>
      <c r="BM29">
        <v>500001</v>
      </c>
      <c r="BN29">
        <v>0</v>
      </c>
      <c r="BO29" t="s">
        <v>6</v>
      </c>
      <c r="BP29">
        <v>0</v>
      </c>
      <c r="BQ29">
        <v>8</v>
      </c>
      <c r="BR29">
        <v>0</v>
      </c>
      <c r="BS29">
        <v>1</v>
      </c>
      <c r="BT29">
        <v>1</v>
      </c>
      <c r="BU29">
        <v>1</v>
      </c>
      <c r="BV29">
        <v>1</v>
      </c>
      <c r="BW29">
        <v>1</v>
      </c>
      <c r="BX29">
        <v>1</v>
      </c>
      <c r="BY29" t="s">
        <v>6</v>
      </c>
      <c r="BZ29">
        <v>0</v>
      </c>
      <c r="CA29">
        <v>0</v>
      </c>
      <c r="CB29" t="s">
        <v>6</v>
      </c>
      <c r="CE29">
        <v>0</v>
      </c>
      <c r="CF29">
        <v>0</v>
      </c>
      <c r="CG29">
        <v>0</v>
      </c>
      <c r="CM29">
        <v>0</v>
      </c>
      <c r="CN29" t="s">
        <v>6</v>
      </c>
      <c r="CO29">
        <v>0</v>
      </c>
      <c r="CP29">
        <f t="shared" si="30"/>
        <v>62</v>
      </c>
      <c r="CQ29">
        <f t="shared" si="31"/>
        <v>32.3568</v>
      </c>
      <c r="CR29">
        <f t="shared" si="32"/>
        <v>0</v>
      </c>
      <c r="CS29">
        <f t="shared" si="33"/>
        <v>0</v>
      </c>
      <c r="CT29">
        <f t="shared" si="34"/>
        <v>0</v>
      </c>
      <c r="CU29">
        <f t="shared" si="35"/>
        <v>0</v>
      </c>
      <c r="CV29">
        <f t="shared" si="35"/>
        <v>0</v>
      </c>
      <c r="CW29">
        <f t="shared" si="35"/>
        <v>0</v>
      </c>
      <c r="CX29">
        <f t="shared" si="35"/>
        <v>0</v>
      </c>
      <c r="CY29">
        <f>(S29+R29)*(BZ29/100)</f>
        <v>0</v>
      </c>
      <c r="CZ29">
        <f>(S29+R29)*(CA29/100)</f>
        <v>0</v>
      </c>
      <c r="DC29" t="s">
        <v>6</v>
      </c>
      <c r="DD29" t="s">
        <v>6</v>
      </c>
      <c r="DE29" t="s">
        <v>6</v>
      </c>
      <c r="DF29" t="s">
        <v>6</v>
      </c>
      <c r="DG29" t="s">
        <v>6</v>
      </c>
      <c r="DH29" t="s">
        <v>6</v>
      </c>
      <c r="DI29" t="s">
        <v>6</v>
      </c>
      <c r="DJ29" t="s">
        <v>6</v>
      </c>
      <c r="DK29" t="s">
        <v>6</v>
      </c>
      <c r="DL29" t="s">
        <v>6</v>
      </c>
      <c r="DM29" t="s">
        <v>6</v>
      </c>
      <c r="DN29">
        <v>0</v>
      </c>
      <c r="DO29">
        <v>0</v>
      </c>
      <c r="DP29">
        <v>1</v>
      </c>
      <c r="DQ29">
        <v>1</v>
      </c>
      <c r="DU29">
        <v>1009</v>
      </c>
      <c r="DV29" t="s">
        <v>33</v>
      </c>
      <c r="DW29" t="e">
        <f>'2.Лок.смета.и.Акт'!#REF!</f>
        <v>#REF!</v>
      </c>
      <c r="DX29">
        <v>1</v>
      </c>
      <c r="DZ29" t="s">
        <v>6</v>
      </c>
      <c r="EA29" t="s">
        <v>6</v>
      </c>
      <c r="EB29" t="s">
        <v>6</v>
      </c>
      <c r="EC29" t="s">
        <v>6</v>
      </c>
      <c r="EE29">
        <v>54328897</v>
      </c>
      <c r="EF29">
        <v>8</v>
      </c>
      <c r="EG29" t="s">
        <v>35</v>
      </c>
      <c r="EH29">
        <v>0</v>
      </c>
      <c r="EI29" t="s">
        <v>6</v>
      </c>
      <c r="EJ29">
        <v>1</v>
      </c>
      <c r="EK29">
        <v>500001</v>
      </c>
      <c r="EL29" t="s">
        <v>36</v>
      </c>
      <c r="EM29" t="s">
        <v>37</v>
      </c>
      <c r="EO29" t="s">
        <v>6</v>
      </c>
      <c r="EQ29">
        <v>0</v>
      </c>
      <c r="ER29">
        <v>31</v>
      </c>
      <c r="ES29">
        <v>4.2799999999999994</v>
      </c>
      <c r="ET29">
        <v>0</v>
      </c>
      <c r="EU29">
        <v>0</v>
      </c>
      <c r="EV29">
        <v>0</v>
      </c>
      <c r="EW29">
        <v>0</v>
      </c>
      <c r="EX29">
        <v>0</v>
      </c>
      <c r="EZ29">
        <v>5</v>
      </c>
      <c r="FC29">
        <v>0</v>
      </c>
      <c r="FD29">
        <v>18</v>
      </c>
      <c r="FF29">
        <v>31</v>
      </c>
      <c r="FQ29">
        <v>0</v>
      </c>
      <c r="FR29">
        <f t="shared" si="36"/>
        <v>0</v>
      </c>
      <c r="FS29">
        <v>0</v>
      </c>
      <c r="FX29">
        <v>0</v>
      </c>
      <c r="FY29">
        <v>0</v>
      </c>
      <c r="GA29" t="s">
        <v>38</v>
      </c>
      <c r="GD29">
        <v>1</v>
      </c>
      <c r="GF29">
        <v>-386994921</v>
      </c>
      <c r="GG29">
        <v>2</v>
      </c>
      <c r="GH29">
        <v>3</v>
      </c>
      <c r="GI29">
        <v>5</v>
      </c>
      <c r="GJ29">
        <v>0</v>
      </c>
      <c r="GK29">
        <v>0</v>
      </c>
      <c r="GL29">
        <f t="shared" si="37"/>
        <v>0</v>
      </c>
      <c r="GM29">
        <f t="shared" si="38"/>
        <v>62</v>
      </c>
      <c r="GN29">
        <f t="shared" si="39"/>
        <v>62</v>
      </c>
      <c r="GO29">
        <f t="shared" si="40"/>
        <v>0</v>
      </c>
      <c r="GP29">
        <f t="shared" si="41"/>
        <v>0</v>
      </c>
      <c r="GR29">
        <v>1</v>
      </c>
      <c r="GS29">
        <v>1</v>
      </c>
      <c r="GT29">
        <v>0</v>
      </c>
      <c r="GU29" t="s">
        <v>6</v>
      </c>
      <c r="GV29">
        <f t="shared" si="42"/>
        <v>0</v>
      </c>
      <c r="GW29">
        <v>1</v>
      </c>
      <c r="GX29">
        <f t="shared" si="43"/>
        <v>0</v>
      </c>
      <c r="HA29">
        <v>0</v>
      </c>
      <c r="HB29">
        <v>0</v>
      </c>
      <c r="HC29">
        <f t="shared" si="44"/>
        <v>0</v>
      </c>
      <c r="HE29" t="s">
        <v>39</v>
      </c>
      <c r="HF29" t="s">
        <v>40</v>
      </c>
      <c r="HM29" t="s">
        <v>6</v>
      </c>
      <c r="HN29" t="s">
        <v>6</v>
      </c>
      <c r="HO29" t="s">
        <v>6</v>
      </c>
      <c r="HP29" t="s">
        <v>6</v>
      </c>
      <c r="HQ29" t="s">
        <v>6</v>
      </c>
      <c r="IF29">
        <v>-1</v>
      </c>
      <c r="IK29">
        <v>0</v>
      </c>
    </row>
    <row r="30" spans="1:255" x14ac:dyDescent="0.2">
      <c r="A30" s="2">
        <v>18</v>
      </c>
      <c r="B30" s="2">
        <v>1</v>
      </c>
      <c r="C30" s="2">
        <v>6</v>
      </c>
      <c r="D30" s="2"/>
      <c r="E30" s="2" t="s">
        <v>41</v>
      </c>
      <c r="F30" s="2" t="s">
        <v>42</v>
      </c>
      <c r="G30" s="2" t="s">
        <v>43</v>
      </c>
      <c r="H30" s="2" t="s">
        <v>44</v>
      </c>
      <c r="I30" s="2">
        <f>I26*J30</f>
        <v>0.24913200000000002</v>
      </c>
      <c r="J30" s="207">
        <f>'5.Ведомость_списания'!F30</f>
        <v>1.2999999999999999E-2</v>
      </c>
      <c r="K30" s="2">
        <v>1.2999999999999999E-2</v>
      </c>
      <c r="L30" s="2"/>
      <c r="M30" s="2"/>
      <c r="N30" s="2"/>
      <c r="O30" s="2">
        <f t="shared" si="14"/>
        <v>2813</v>
      </c>
      <c r="P30" s="2">
        <f t="shared" si="15"/>
        <v>2813</v>
      </c>
      <c r="Q30" s="2">
        <f t="shared" si="16"/>
        <v>0</v>
      </c>
      <c r="R30" s="2">
        <f t="shared" si="17"/>
        <v>0</v>
      </c>
      <c r="S30" s="2">
        <f t="shared" si="18"/>
        <v>0</v>
      </c>
      <c r="T30" s="2">
        <f t="shared" si="19"/>
        <v>0</v>
      </c>
      <c r="U30" s="2">
        <f t="shared" si="20"/>
        <v>0</v>
      </c>
      <c r="V30" s="2">
        <f t="shared" si="21"/>
        <v>0</v>
      </c>
      <c r="W30" s="2">
        <f t="shared" si="22"/>
        <v>3</v>
      </c>
      <c r="X30" s="2">
        <f t="shared" si="23"/>
        <v>0</v>
      </c>
      <c r="Y30" s="2">
        <f t="shared" si="23"/>
        <v>0</v>
      </c>
      <c r="Z30" s="2"/>
      <c r="AA30" s="2">
        <v>74242616</v>
      </c>
      <c r="AB30" s="2">
        <f t="shared" si="24"/>
        <v>11293.16</v>
      </c>
      <c r="AC30" s="2">
        <f>ROUND((ES30),2)</f>
        <v>11293.16</v>
      </c>
      <c r="AD30" s="2">
        <f t="shared" si="25"/>
        <v>0</v>
      </c>
      <c r="AE30" s="2">
        <f t="shared" si="26"/>
        <v>0</v>
      </c>
      <c r="AF30" s="2">
        <f t="shared" si="26"/>
        <v>0</v>
      </c>
      <c r="AG30" s="2">
        <f t="shared" si="27"/>
        <v>0</v>
      </c>
      <c r="AH30" s="2">
        <f t="shared" si="28"/>
        <v>0</v>
      </c>
      <c r="AI30" s="2">
        <f t="shared" si="28"/>
        <v>0</v>
      </c>
      <c r="AJ30" s="2">
        <f t="shared" si="29"/>
        <v>11.06</v>
      </c>
      <c r="AK30" s="2">
        <v>11293.16</v>
      </c>
      <c r="AL30" s="111">
        <f>'1.Лок.смета.и.Акт'!F61</f>
        <v>11293.16</v>
      </c>
      <c r="AM30" s="2">
        <v>0</v>
      </c>
      <c r="AN30" s="2">
        <v>0</v>
      </c>
      <c r="AO30" s="2">
        <v>0</v>
      </c>
      <c r="AP30" s="2">
        <v>0</v>
      </c>
      <c r="AQ30" s="2">
        <v>0</v>
      </c>
      <c r="AR30" s="2">
        <v>0</v>
      </c>
      <c r="AS30" s="2">
        <v>11.06</v>
      </c>
      <c r="AT30" s="2">
        <v>0</v>
      </c>
      <c r="AU30" s="2">
        <v>0</v>
      </c>
      <c r="AV30" s="2">
        <v>1</v>
      </c>
      <c r="AW30" s="2">
        <v>1</v>
      </c>
      <c r="AX30" s="2"/>
      <c r="AY30" s="2"/>
      <c r="AZ30" s="2">
        <v>1</v>
      </c>
      <c r="BA30" s="2">
        <v>1</v>
      </c>
      <c r="BB30" s="2">
        <v>1</v>
      </c>
      <c r="BC30" s="2">
        <v>1</v>
      </c>
      <c r="BD30" s="2" t="s">
        <v>6</v>
      </c>
      <c r="BE30" s="2" t="s">
        <v>6</v>
      </c>
      <c r="BF30" s="2" t="s">
        <v>6</v>
      </c>
      <c r="BG30" s="2" t="s">
        <v>6</v>
      </c>
      <c r="BH30" s="2">
        <v>3</v>
      </c>
      <c r="BI30" s="2">
        <v>1</v>
      </c>
      <c r="BJ30" s="2" t="s">
        <v>45</v>
      </c>
      <c r="BK30" s="2"/>
      <c r="BL30" s="2"/>
      <c r="BM30" s="2">
        <v>500001</v>
      </c>
      <c r="BN30" s="2">
        <v>0</v>
      </c>
      <c r="BO30" s="2" t="s">
        <v>6</v>
      </c>
      <c r="BP30" s="2">
        <v>0</v>
      </c>
      <c r="BQ30" s="2">
        <v>8</v>
      </c>
      <c r="BR30" s="2">
        <v>0</v>
      </c>
      <c r="BS30" s="2">
        <v>1</v>
      </c>
      <c r="BT30" s="2">
        <v>1</v>
      </c>
      <c r="BU30" s="2">
        <v>1</v>
      </c>
      <c r="BV30" s="2">
        <v>1</v>
      </c>
      <c r="BW30" s="2">
        <v>1</v>
      </c>
      <c r="BX30" s="2">
        <v>1</v>
      </c>
      <c r="BY30" s="2" t="s">
        <v>6</v>
      </c>
      <c r="BZ30" s="2">
        <v>0</v>
      </c>
      <c r="CA30" s="2">
        <v>0</v>
      </c>
      <c r="CB30" s="2" t="s">
        <v>6</v>
      </c>
      <c r="CC30" s="2"/>
      <c r="CD30" s="2"/>
      <c r="CE30" s="2">
        <v>0</v>
      </c>
      <c r="CF30" s="2">
        <v>0</v>
      </c>
      <c r="CG30" s="2">
        <v>0</v>
      </c>
      <c r="CH30" s="2"/>
      <c r="CI30" s="2"/>
      <c r="CJ30" s="2"/>
      <c r="CK30" s="2"/>
      <c r="CL30" s="2"/>
      <c r="CM30" s="2">
        <v>0</v>
      </c>
      <c r="CN30" s="2" t="s">
        <v>6</v>
      </c>
      <c r="CO30" s="2">
        <v>0</v>
      </c>
      <c r="CP30" s="2">
        <f t="shared" si="30"/>
        <v>2813</v>
      </c>
      <c r="CQ30" s="2">
        <f t="shared" si="31"/>
        <v>11293.16</v>
      </c>
      <c r="CR30" s="2">
        <f t="shared" si="32"/>
        <v>0</v>
      </c>
      <c r="CS30" s="2">
        <f t="shared" si="33"/>
        <v>0</v>
      </c>
      <c r="CT30" s="2">
        <f t="shared" si="34"/>
        <v>0</v>
      </c>
      <c r="CU30" s="2">
        <f t="shared" si="35"/>
        <v>0</v>
      </c>
      <c r="CV30" s="2">
        <f t="shared" si="35"/>
        <v>0</v>
      </c>
      <c r="CW30" s="2">
        <f t="shared" si="35"/>
        <v>0</v>
      </c>
      <c r="CX30" s="2">
        <f t="shared" si="35"/>
        <v>11.06</v>
      </c>
      <c r="CY30" s="2">
        <f>(((S30+R30)*AT30)/100)</f>
        <v>0</v>
      </c>
      <c r="CZ30" s="2">
        <f>(((S30+R30)*AU30)/100)</f>
        <v>0</v>
      </c>
      <c r="DA30" s="2"/>
      <c r="DB30" s="2"/>
      <c r="DC30" s="2" t="s">
        <v>6</v>
      </c>
      <c r="DD30" s="2" t="s">
        <v>6</v>
      </c>
      <c r="DE30" s="2" t="s">
        <v>6</v>
      </c>
      <c r="DF30" s="2" t="s">
        <v>6</v>
      </c>
      <c r="DG30" s="2" t="s">
        <v>6</v>
      </c>
      <c r="DH30" s="2" t="s">
        <v>6</v>
      </c>
      <c r="DI30" s="2" t="s">
        <v>6</v>
      </c>
      <c r="DJ30" s="2" t="s">
        <v>6</v>
      </c>
      <c r="DK30" s="2" t="s">
        <v>6</v>
      </c>
      <c r="DL30" s="2" t="s">
        <v>6</v>
      </c>
      <c r="DM30" s="2" t="s">
        <v>6</v>
      </c>
      <c r="DN30" s="2">
        <v>0</v>
      </c>
      <c r="DO30" s="2">
        <v>0</v>
      </c>
      <c r="DP30" s="2">
        <v>1</v>
      </c>
      <c r="DQ30" s="2">
        <v>1</v>
      </c>
      <c r="DR30" s="2"/>
      <c r="DS30" s="2"/>
      <c r="DT30" s="2"/>
      <c r="DU30" s="2">
        <v>1009</v>
      </c>
      <c r="DV30" s="2" t="s">
        <v>44</v>
      </c>
      <c r="DW30" s="2" t="s">
        <v>44</v>
      </c>
      <c r="DX30" s="2">
        <v>1000</v>
      </c>
      <c r="DY30" s="2"/>
      <c r="DZ30" s="2" t="s">
        <v>6</v>
      </c>
      <c r="EA30" s="2" t="s">
        <v>6</v>
      </c>
      <c r="EB30" s="2" t="s">
        <v>6</v>
      </c>
      <c r="EC30" s="2" t="s">
        <v>6</v>
      </c>
      <c r="ED30" s="2"/>
      <c r="EE30" s="2">
        <v>54328897</v>
      </c>
      <c r="EF30" s="2">
        <v>8</v>
      </c>
      <c r="EG30" s="2" t="s">
        <v>35</v>
      </c>
      <c r="EH30" s="2">
        <v>0</v>
      </c>
      <c r="EI30" s="2" t="s">
        <v>6</v>
      </c>
      <c r="EJ30" s="2">
        <v>1</v>
      </c>
      <c r="EK30" s="2">
        <v>500001</v>
      </c>
      <c r="EL30" s="2" t="s">
        <v>36</v>
      </c>
      <c r="EM30" s="2" t="s">
        <v>37</v>
      </c>
      <c r="EN30" s="2"/>
      <c r="EO30" s="2" t="s">
        <v>6</v>
      </c>
      <c r="EP30" s="2"/>
      <c r="EQ30" s="2">
        <v>0</v>
      </c>
      <c r="ER30" s="2">
        <v>11293.16</v>
      </c>
      <c r="ES30" s="111">
        <f>'1.Лок.смета.и.Акт'!F61</f>
        <v>11293.16</v>
      </c>
      <c r="ET30" s="2">
        <v>0</v>
      </c>
      <c r="EU30" s="2">
        <v>0</v>
      </c>
      <c r="EV30" s="2">
        <v>0</v>
      </c>
      <c r="EW30" s="2">
        <v>0</v>
      </c>
      <c r="EX30" s="2">
        <v>0</v>
      </c>
      <c r="EY30" s="2"/>
      <c r="EZ30" s="2"/>
      <c r="FA30" s="2"/>
      <c r="FB30" s="2"/>
      <c r="FC30" s="2"/>
      <c r="FD30" s="2"/>
      <c r="FE30" s="2"/>
      <c r="FF30" s="2"/>
      <c r="FG30" s="2"/>
      <c r="FH30" s="2"/>
      <c r="FI30" s="2"/>
      <c r="FJ30" s="2"/>
      <c r="FK30" s="2"/>
      <c r="FL30" s="2"/>
      <c r="FM30" s="2"/>
      <c r="FN30" s="2"/>
      <c r="FO30" s="2"/>
      <c r="FP30" s="2"/>
      <c r="FQ30" s="2">
        <v>0</v>
      </c>
      <c r="FR30" s="2">
        <f t="shared" si="36"/>
        <v>0</v>
      </c>
      <c r="FS30" s="2">
        <v>0</v>
      </c>
      <c r="FT30" s="2"/>
      <c r="FU30" s="2"/>
      <c r="FV30" s="2"/>
      <c r="FW30" s="2"/>
      <c r="FX30" s="2">
        <v>0</v>
      </c>
      <c r="FY30" s="2">
        <v>0</v>
      </c>
      <c r="FZ30" s="2"/>
      <c r="GA30" s="2" t="s">
        <v>6</v>
      </c>
      <c r="GB30" s="2"/>
      <c r="GC30" s="2"/>
      <c r="GD30" s="2">
        <v>1</v>
      </c>
      <c r="GE30" s="2"/>
      <c r="GF30" s="2">
        <v>1777539314</v>
      </c>
      <c r="GG30" s="2">
        <v>2</v>
      </c>
      <c r="GH30" s="2">
        <v>1</v>
      </c>
      <c r="GI30" s="2">
        <v>-2</v>
      </c>
      <c r="GJ30" s="2">
        <v>0</v>
      </c>
      <c r="GK30" s="2">
        <v>0</v>
      </c>
      <c r="GL30" s="2">
        <f t="shared" si="37"/>
        <v>0</v>
      </c>
      <c r="GM30" s="2">
        <f t="shared" si="38"/>
        <v>2813</v>
      </c>
      <c r="GN30" s="2">
        <f t="shared" si="39"/>
        <v>2813</v>
      </c>
      <c r="GO30" s="2">
        <f t="shared" si="40"/>
        <v>0</v>
      </c>
      <c r="GP30" s="2">
        <f t="shared" si="41"/>
        <v>0</v>
      </c>
      <c r="GQ30" s="2"/>
      <c r="GR30" s="2">
        <v>0</v>
      </c>
      <c r="GS30" s="2">
        <v>3</v>
      </c>
      <c r="GT30" s="2">
        <v>0</v>
      </c>
      <c r="GU30" s="2" t="s">
        <v>6</v>
      </c>
      <c r="GV30" s="2">
        <f t="shared" si="42"/>
        <v>0</v>
      </c>
      <c r="GW30" s="2">
        <v>1</v>
      </c>
      <c r="GX30" s="2">
        <f t="shared" si="43"/>
        <v>0</v>
      </c>
      <c r="GY30" s="2"/>
      <c r="GZ30" s="2"/>
      <c r="HA30" s="2">
        <v>0</v>
      </c>
      <c r="HB30" s="2">
        <v>0</v>
      </c>
      <c r="HC30" s="2">
        <f t="shared" si="44"/>
        <v>0</v>
      </c>
      <c r="HD30" s="2"/>
      <c r="HE30" s="2" t="s">
        <v>6</v>
      </c>
      <c r="HF30" s="2" t="s">
        <v>6</v>
      </c>
      <c r="HG30" s="2"/>
      <c r="HH30" s="2"/>
      <c r="HI30" s="2"/>
      <c r="HJ30" s="2"/>
      <c r="HK30" s="2"/>
      <c r="HL30" s="2"/>
      <c r="HM30" s="2" t="s">
        <v>6</v>
      </c>
      <c r="HN30" s="2" t="s">
        <v>6</v>
      </c>
      <c r="HO30" s="2" t="s">
        <v>6</v>
      </c>
      <c r="HP30" s="2" t="s">
        <v>6</v>
      </c>
      <c r="HQ30" s="2" t="s">
        <v>6</v>
      </c>
      <c r="HR30" s="2"/>
      <c r="HS30" s="2"/>
      <c r="HT30" s="2"/>
      <c r="HU30" s="2"/>
      <c r="HV30" s="2"/>
      <c r="HW30" s="2"/>
      <c r="HX30" s="2"/>
      <c r="HY30" s="2"/>
      <c r="HZ30" s="2"/>
      <c r="IA30" s="2"/>
      <c r="IB30" s="2"/>
      <c r="IC30" s="2"/>
      <c r="ID30" s="2"/>
      <c r="IE30" s="2"/>
      <c r="IF30" s="2">
        <v>-1</v>
      </c>
      <c r="IG30" s="2"/>
      <c r="IH30" s="2"/>
      <c r="II30" s="2"/>
      <c r="IJ30" s="2"/>
      <c r="IK30" s="2">
        <v>0</v>
      </c>
      <c r="IL30" s="2"/>
      <c r="IM30" s="2"/>
      <c r="IN30" s="2"/>
      <c r="IO30" s="2"/>
      <c r="IP30" s="2"/>
      <c r="IQ30" s="2"/>
      <c r="IR30" s="2"/>
      <c r="IS30" s="2"/>
      <c r="IT30" s="2"/>
      <c r="IU30" s="2"/>
    </row>
    <row r="31" spans="1:255" x14ac:dyDescent="0.2">
      <c r="A31">
        <v>18</v>
      </c>
      <c r="B31">
        <v>1</v>
      </c>
      <c r="C31">
        <v>12</v>
      </c>
      <c r="E31" t="s">
        <v>41</v>
      </c>
      <c r="F31" t="e">
        <f>'2.Лок.смета.и.Акт'!#REF!</f>
        <v>#REF!</v>
      </c>
      <c r="G31" t="s">
        <v>43</v>
      </c>
      <c r="H31" t="s">
        <v>44</v>
      </c>
      <c r="I31">
        <f>I27*J31</f>
        <v>0.24913200000000002</v>
      </c>
      <c r="J31">
        <v>1.2999999999999999E-2</v>
      </c>
      <c r="K31">
        <v>1.2999999999999999E-2</v>
      </c>
      <c r="O31">
        <f t="shared" si="14"/>
        <v>10505</v>
      </c>
      <c r="P31">
        <f t="shared" si="15"/>
        <v>10505</v>
      </c>
      <c r="Q31">
        <f t="shared" si="16"/>
        <v>0</v>
      </c>
      <c r="R31">
        <f t="shared" si="17"/>
        <v>0</v>
      </c>
      <c r="S31">
        <f t="shared" si="18"/>
        <v>0</v>
      </c>
      <c r="T31">
        <f t="shared" si="19"/>
        <v>0</v>
      </c>
      <c r="U31">
        <f t="shared" si="20"/>
        <v>0</v>
      </c>
      <c r="V31">
        <f t="shared" si="21"/>
        <v>0</v>
      </c>
      <c r="W31">
        <f t="shared" si="22"/>
        <v>3</v>
      </c>
      <c r="X31">
        <f t="shared" si="23"/>
        <v>0</v>
      </c>
      <c r="Y31">
        <f t="shared" si="23"/>
        <v>0</v>
      </c>
      <c r="AA31">
        <v>74242617</v>
      </c>
      <c r="AB31">
        <f t="shared" si="24"/>
        <v>5577.39</v>
      </c>
      <c r="AC31">
        <f>ROUND((ES31),2)</f>
        <v>5577.39</v>
      </c>
      <c r="AD31">
        <f t="shared" si="25"/>
        <v>0</v>
      </c>
      <c r="AE31">
        <f t="shared" si="26"/>
        <v>0</v>
      </c>
      <c r="AF31">
        <f t="shared" si="26"/>
        <v>0</v>
      </c>
      <c r="AG31">
        <f t="shared" si="27"/>
        <v>0</v>
      </c>
      <c r="AH31">
        <f t="shared" si="28"/>
        <v>0</v>
      </c>
      <c r="AI31">
        <f t="shared" si="28"/>
        <v>0</v>
      </c>
      <c r="AJ31">
        <f t="shared" si="29"/>
        <v>11.06</v>
      </c>
      <c r="AK31">
        <v>5577.3899999999994</v>
      </c>
      <c r="AL31">
        <v>5577.3899999999994</v>
      </c>
      <c r="AM31">
        <v>0</v>
      </c>
      <c r="AN31">
        <v>0</v>
      </c>
      <c r="AO31">
        <v>0</v>
      </c>
      <c r="AP31">
        <v>0</v>
      </c>
      <c r="AQ31">
        <v>0</v>
      </c>
      <c r="AR31">
        <v>0</v>
      </c>
      <c r="AS31">
        <v>11.06</v>
      </c>
      <c r="AT31">
        <v>0</v>
      </c>
      <c r="AU31">
        <v>0</v>
      </c>
      <c r="AV31">
        <v>1</v>
      </c>
      <c r="AW31">
        <v>1</v>
      </c>
      <c r="AZ31">
        <v>1</v>
      </c>
      <c r="BA31">
        <v>1</v>
      </c>
      <c r="BB31">
        <v>1</v>
      </c>
      <c r="BC31">
        <v>7.56</v>
      </c>
      <c r="BD31" t="s">
        <v>6</v>
      </c>
      <c r="BE31" t="s">
        <v>6</v>
      </c>
      <c r="BF31" t="s">
        <v>6</v>
      </c>
      <c r="BG31" t="s">
        <v>6</v>
      </c>
      <c r="BH31">
        <v>3</v>
      </c>
      <c r="BI31">
        <v>1</v>
      </c>
      <c r="BJ31" t="s">
        <v>45</v>
      </c>
      <c r="BM31">
        <v>500001</v>
      </c>
      <c r="BN31">
        <v>0</v>
      </c>
      <c r="BO31" t="s">
        <v>6</v>
      </c>
      <c r="BP31">
        <v>0</v>
      </c>
      <c r="BQ31">
        <v>8</v>
      </c>
      <c r="BR31">
        <v>0</v>
      </c>
      <c r="BS31">
        <v>1</v>
      </c>
      <c r="BT31">
        <v>1</v>
      </c>
      <c r="BU31">
        <v>1</v>
      </c>
      <c r="BV31">
        <v>1</v>
      </c>
      <c r="BW31">
        <v>1</v>
      </c>
      <c r="BX31">
        <v>1</v>
      </c>
      <c r="BY31" t="s">
        <v>6</v>
      </c>
      <c r="BZ31">
        <v>0</v>
      </c>
      <c r="CA31">
        <v>0</v>
      </c>
      <c r="CB31" t="s">
        <v>6</v>
      </c>
      <c r="CE31">
        <v>0</v>
      </c>
      <c r="CF31">
        <v>0</v>
      </c>
      <c r="CG31">
        <v>0</v>
      </c>
      <c r="CM31">
        <v>0</v>
      </c>
      <c r="CN31" t="s">
        <v>6</v>
      </c>
      <c r="CO31">
        <v>0</v>
      </c>
      <c r="CP31">
        <f t="shared" si="30"/>
        <v>10505</v>
      </c>
      <c r="CQ31">
        <f t="shared" si="31"/>
        <v>42165.068400000004</v>
      </c>
      <c r="CR31">
        <f t="shared" si="32"/>
        <v>0</v>
      </c>
      <c r="CS31">
        <f t="shared" si="33"/>
        <v>0</v>
      </c>
      <c r="CT31">
        <f t="shared" si="34"/>
        <v>0</v>
      </c>
      <c r="CU31">
        <f t="shared" si="35"/>
        <v>0</v>
      </c>
      <c r="CV31">
        <f t="shared" si="35"/>
        <v>0</v>
      </c>
      <c r="CW31">
        <f t="shared" si="35"/>
        <v>0</v>
      </c>
      <c r="CX31">
        <f t="shared" si="35"/>
        <v>11.06</v>
      </c>
      <c r="CY31">
        <f>(S31+R31)*(BZ31/100)</f>
        <v>0</v>
      </c>
      <c r="CZ31">
        <f>(S31+R31)*(CA31/100)</f>
        <v>0</v>
      </c>
      <c r="DC31" t="s">
        <v>6</v>
      </c>
      <c r="DD31" t="s">
        <v>6</v>
      </c>
      <c r="DE31" t="s">
        <v>6</v>
      </c>
      <c r="DF31" t="s">
        <v>6</v>
      </c>
      <c r="DG31" t="s">
        <v>6</v>
      </c>
      <c r="DH31" t="s">
        <v>6</v>
      </c>
      <c r="DI31" t="s">
        <v>6</v>
      </c>
      <c r="DJ31" t="s">
        <v>6</v>
      </c>
      <c r="DK31" t="s">
        <v>6</v>
      </c>
      <c r="DL31" t="s">
        <v>6</v>
      </c>
      <c r="DM31" t="s">
        <v>6</v>
      </c>
      <c r="DN31">
        <v>0</v>
      </c>
      <c r="DO31">
        <v>0</v>
      </c>
      <c r="DP31">
        <v>1</v>
      </c>
      <c r="DQ31">
        <v>1</v>
      </c>
      <c r="DU31">
        <v>1009</v>
      </c>
      <c r="DV31" t="s">
        <v>44</v>
      </c>
      <c r="DW31" t="e">
        <f>'2.Лок.смета.и.Акт'!#REF!</f>
        <v>#REF!</v>
      </c>
      <c r="DX31">
        <v>1000</v>
      </c>
      <c r="DZ31" t="s">
        <v>6</v>
      </c>
      <c r="EA31" t="s">
        <v>6</v>
      </c>
      <c r="EB31" t="s">
        <v>6</v>
      </c>
      <c r="EC31" t="s">
        <v>6</v>
      </c>
      <c r="EE31">
        <v>54328897</v>
      </c>
      <c r="EF31">
        <v>8</v>
      </c>
      <c r="EG31" t="s">
        <v>35</v>
      </c>
      <c r="EH31">
        <v>0</v>
      </c>
      <c r="EI31" t="s">
        <v>6</v>
      </c>
      <c r="EJ31">
        <v>1</v>
      </c>
      <c r="EK31">
        <v>500001</v>
      </c>
      <c r="EL31" t="s">
        <v>36</v>
      </c>
      <c r="EM31" t="s">
        <v>37</v>
      </c>
      <c r="EO31" t="s">
        <v>6</v>
      </c>
      <c r="EQ31">
        <v>0</v>
      </c>
      <c r="ER31">
        <v>5577.3899999999994</v>
      </c>
      <c r="ES31">
        <v>5577.3899999999994</v>
      </c>
      <c r="ET31">
        <v>0</v>
      </c>
      <c r="EU31">
        <v>0</v>
      </c>
      <c r="EV31">
        <v>0</v>
      </c>
      <c r="EW31">
        <v>0</v>
      </c>
      <c r="EX31">
        <v>0</v>
      </c>
      <c r="EZ31">
        <v>5</v>
      </c>
      <c r="FC31">
        <v>0</v>
      </c>
      <c r="FD31">
        <v>18</v>
      </c>
      <c r="FF31">
        <v>40330</v>
      </c>
      <c r="FQ31">
        <v>0</v>
      </c>
      <c r="FR31">
        <f t="shared" si="36"/>
        <v>0</v>
      </c>
      <c r="FS31">
        <v>0</v>
      </c>
      <c r="FX31">
        <v>0</v>
      </c>
      <c r="FY31">
        <v>0</v>
      </c>
      <c r="GA31" t="s">
        <v>46</v>
      </c>
      <c r="GD31">
        <v>1</v>
      </c>
      <c r="GF31">
        <v>1777539314</v>
      </c>
      <c r="GG31">
        <v>2</v>
      </c>
      <c r="GH31">
        <v>3</v>
      </c>
      <c r="GI31">
        <v>5</v>
      </c>
      <c r="GJ31">
        <v>0</v>
      </c>
      <c r="GK31">
        <v>0</v>
      </c>
      <c r="GL31">
        <f t="shared" si="37"/>
        <v>0</v>
      </c>
      <c r="GM31">
        <f t="shared" si="38"/>
        <v>10505</v>
      </c>
      <c r="GN31">
        <f t="shared" si="39"/>
        <v>10505</v>
      </c>
      <c r="GO31">
        <f t="shared" si="40"/>
        <v>0</v>
      </c>
      <c r="GP31">
        <f t="shared" si="41"/>
        <v>0</v>
      </c>
      <c r="GR31">
        <v>1</v>
      </c>
      <c r="GS31">
        <v>1</v>
      </c>
      <c r="GT31">
        <v>0</v>
      </c>
      <c r="GU31" t="s">
        <v>6</v>
      </c>
      <c r="GV31">
        <f t="shared" si="42"/>
        <v>0</v>
      </c>
      <c r="GW31">
        <v>1</v>
      </c>
      <c r="GX31">
        <f t="shared" si="43"/>
        <v>0</v>
      </c>
      <c r="HA31">
        <v>0</v>
      </c>
      <c r="HB31">
        <v>0</v>
      </c>
      <c r="HC31">
        <f t="shared" si="44"/>
        <v>0</v>
      </c>
      <c r="HE31" t="s">
        <v>39</v>
      </c>
      <c r="HF31" t="s">
        <v>40</v>
      </c>
      <c r="HM31" t="s">
        <v>6</v>
      </c>
      <c r="HN31" t="s">
        <v>6</v>
      </c>
      <c r="HO31" t="s">
        <v>6</v>
      </c>
      <c r="HP31" t="s">
        <v>6</v>
      </c>
      <c r="HQ31" t="s">
        <v>6</v>
      </c>
      <c r="IF31">
        <v>-1</v>
      </c>
      <c r="IK31">
        <v>0</v>
      </c>
    </row>
    <row r="32" spans="1:255" x14ac:dyDescent="0.2">
      <c r="A32" s="2">
        <v>19</v>
      </c>
      <c r="B32" s="2">
        <v>1</v>
      </c>
      <c r="C32" s="2"/>
      <c r="D32" s="2"/>
      <c r="E32" s="2"/>
      <c r="F32" s="2" t="s">
        <v>6</v>
      </c>
      <c r="G32" s="2" t="s">
        <v>47</v>
      </c>
      <c r="H32" s="2" t="s">
        <v>6</v>
      </c>
      <c r="I32" s="2"/>
      <c r="J32" s="2"/>
      <c r="K32" s="2"/>
      <c r="L32" s="2"/>
      <c r="M32" s="2"/>
      <c r="N32" s="2"/>
      <c r="O32" s="2"/>
      <c r="P32" s="2"/>
      <c r="Q32" s="2"/>
      <c r="R32" s="2"/>
      <c r="S32" s="2"/>
      <c r="T32" s="2"/>
      <c r="U32" s="2"/>
      <c r="V32" s="2"/>
      <c r="W32" s="2"/>
      <c r="X32" s="2"/>
      <c r="Y32" s="2"/>
      <c r="Z32" s="2"/>
      <c r="AA32" s="2">
        <v>1</v>
      </c>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v>-1</v>
      </c>
      <c r="IG32" s="2"/>
      <c r="IH32" s="2"/>
      <c r="II32" s="2"/>
      <c r="IJ32" s="2"/>
      <c r="IK32" s="2">
        <v>0</v>
      </c>
      <c r="IL32" s="2"/>
      <c r="IM32" s="2"/>
      <c r="IN32" s="2"/>
      <c r="IO32" s="2"/>
      <c r="IP32" s="2"/>
      <c r="IQ32" s="2"/>
      <c r="IR32" s="2"/>
      <c r="IS32" s="2"/>
      <c r="IT32" s="2"/>
      <c r="IU32" s="2"/>
    </row>
    <row r="33" spans="1:255" x14ac:dyDescent="0.2">
      <c r="A33" s="2">
        <v>17</v>
      </c>
      <c r="B33" s="2">
        <v>1</v>
      </c>
      <c r="C33" s="2">
        <f>ROW(SmtRes!A18)</f>
        <v>18</v>
      </c>
      <c r="D33" s="2">
        <f>ROW(EtalonRes!A18)</f>
        <v>18</v>
      </c>
      <c r="E33" s="2" t="s">
        <v>40</v>
      </c>
      <c r="F33" s="2" t="s">
        <v>48</v>
      </c>
      <c r="G33" s="2" t="s">
        <v>49</v>
      </c>
      <c r="H33" s="2" t="s">
        <v>50</v>
      </c>
      <c r="I33" s="2">
        <f>'2.Лок.смета.и.Акт'!E30</f>
        <v>27.713000000000001</v>
      </c>
      <c r="J33" s="2">
        <v>0</v>
      </c>
      <c r="K33" s="2">
        <v>27.713000000000001</v>
      </c>
      <c r="L33" s="2"/>
      <c r="M33" s="2"/>
      <c r="N33" s="2"/>
      <c r="O33" s="2">
        <f t="shared" ref="O33:O80" si="45">ROUND(CP33,0)</f>
        <v>323</v>
      </c>
      <c r="P33" s="2">
        <f t="shared" ref="P33:P80" si="46">ROUND(CQ33*I33,0)</f>
        <v>0</v>
      </c>
      <c r="Q33" s="2">
        <f t="shared" ref="Q33:Q80" si="47">ROUND(CR33*I33,0)</f>
        <v>27</v>
      </c>
      <c r="R33" s="2">
        <f t="shared" ref="R33:R80" si="48">ROUND(CS33*I33,0)</f>
        <v>1</v>
      </c>
      <c r="S33" s="2">
        <f t="shared" ref="S33:S80" si="49">ROUND(CT33*I33,0)</f>
        <v>296</v>
      </c>
      <c r="T33" s="2">
        <f t="shared" ref="T33:T80" si="50">ROUND(CU33*I33,0)</f>
        <v>0</v>
      </c>
      <c r="U33" s="2">
        <f t="shared" ref="U33:U80" si="51">CV33*I33</f>
        <v>30.484300000000005</v>
      </c>
      <c r="V33" s="2">
        <f t="shared" ref="V33:V80" si="52">CW33*I33</f>
        <v>0.27713000000000004</v>
      </c>
      <c r="W33" s="2">
        <f t="shared" ref="W33:W80" si="53">ROUND(CX33*I33,0)</f>
        <v>0</v>
      </c>
      <c r="X33" s="2">
        <f t="shared" ref="X33:X80" si="54">ROUND(CY33,0)</f>
        <v>312</v>
      </c>
      <c r="Y33" s="2">
        <f t="shared" ref="Y33:Y80" si="55">ROUND(CZ33,0)</f>
        <v>163</v>
      </c>
      <c r="Z33" s="2"/>
      <c r="AA33" s="2">
        <v>74242616</v>
      </c>
      <c r="AB33" s="2">
        <f t="shared" ref="AB33:AB80" si="56">ROUND((AC33+AD33+AF33),2)</f>
        <v>11.66</v>
      </c>
      <c r="AC33" s="2">
        <f>ROUND((ES33+(SUM(SmtRes!BC13:'SmtRes'!BC18)+SUM(EtalonRes!AL13:'EtalonRes'!AL18))),2)</f>
        <v>0</v>
      </c>
      <c r="AD33" s="2">
        <f t="shared" ref="AD33:AD40" si="57">ROUND((((ET33)-(EU33))+AE33),2)</f>
        <v>0.99</v>
      </c>
      <c r="AE33" s="2">
        <f t="shared" ref="AE33:AE80" si="58">ROUND((EU33),2)</f>
        <v>0.03</v>
      </c>
      <c r="AF33" s="2">
        <f t="shared" ref="AF33:AF80" si="59">ROUND((EV33),2)</f>
        <v>10.67</v>
      </c>
      <c r="AG33" s="2">
        <f t="shared" ref="AG33:AG80" si="60">ROUND((AP33),2)</f>
        <v>0</v>
      </c>
      <c r="AH33" s="2">
        <f t="shared" ref="AH33:AH80" si="61">(EW33)</f>
        <v>1.1000000000000001</v>
      </c>
      <c r="AI33" s="2">
        <f t="shared" ref="AI33:AI80" si="62">(EX33)</f>
        <v>0.01</v>
      </c>
      <c r="AJ33" s="2">
        <f t="shared" ref="AJ33:AJ80" si="63">(AS33)</f>
        <v>0</v>
      </c>
      <c r="AK33" s="2">
        <v>11.84</v>
      </c>
      <c r="AL33" s="2">
        <v>0.18</v>
      </c>
      <c r="AM33" s="2">
        <v>0.99</v>
      </c>
      <c r="AN33" s="2">
        <v>0.03</v>
      </c>
      <c r="AO33" s="2">
        <v>10.67</v>
      </c>
      <c r="AP33" s="2">
        <v>0</v>
      </c>
      <c r="AQ33" s="2">
        <v>1.1000000000000001</v>
      </c>
      <c r="AR33" s="2">
        <v>0.01</v>
      </c>
      <c r="AS33" s="2">
        <v>0</v>
      </c>
      <c r="AT33" s="2">
        <v>105</v>
      </c>
      <c r="AU33" s="2">
        <v>55</v>
      </c>
      <c r="AV33" s="2">
        <v>1</v>
      </c>
      <c r="AW33" s="2">
        <v>1</v>
      </c>
      <c r="AX33" s="2"/>
      <c r="AY33" s="2"/>
      <c r="AZ33" s="2">
        <v>1</v>
      </c>
      <c r="BA33" s="2">
        <v>1</v>
      </c>
      <c r="BB33" s="2">
        <v>1</v>
      </c>
      <c r="BC33" s="2">
        <v>1</v>
      </c>
      <c r="BD33" s="2" t="s">
        <v>6</v>
      </c>
      <c r="BE33" s="2" t="s">
        <v>6</v>
      </c>
      <c r="BF33" s="2" t="s">
        <v>6</v>
      </c>
      <c r="BG33" s="2" t="s">
        <v>6</v>
      </c>
      <c r="BH33" s="2">
        <v>0</v>
      </c>
      <c r="BI33" s="2">
        <v>1</v>
      </c>
      <c r="BJ33" s="2" t="s">
        <v>51</v>
      </c>
      <c r="BK33" s="2"/>
      <c r="BL33" s="2"/>
      <c r="BM33" s="2">
        <v>24</v>
      </c>
      <c r="BN33" s="2">
        <v>0</v>
      </c>
      <c r="BO33" s="2" t="s">
        <v>6</v>
      </c>
      <c r="BP33" s="2">
        <v>0</v>
      </c>
      <c r="BQ33" s="2">
        <v>2</v>
      </c>
      <c r="BR33" s="2">
        <v>0</v>
      </c>
      <c r="BS33" s="2">
        <v>1</v>
      </c>
      <c r="BT33" s="2">
        <v>1</v>
      </c>
      <c r="BU33" s="2">
        <v>1</v>
      </c>
      <c r="BV33" s="2">
        <v>1</v>
      </c>
      <c r="BW33" s="2">
        <v>1</v>
      </c>
      <c r="BX33" s="2">
        <v>1</v>
      </c>
      <c r="BY33" s="2" t="s">
        <v>6</v>
      </c>
      <c r="BZ33" s="2">
        <v>105</v>
      </c>
      <c r="CA33" s="2">
        <v>55</v>
      </c>
      <c r="CB33" s="2" t="s">
        <v>6</v>
      </c>
      <c r="CC33" s="2"/>
      <c r="CD33" s="2"/>
      <c r="CE33" s="2">
        <v>0</v>
      </c>
      <c r="CF33" s="2">
        <v>0</v>
      </c>
      <c r="CG33" s="2">
        <v>0</v>
      </c>
      <c r="CH33" s="2"/>
      <c r="CI33" s="2"/>
      <c r="CJ33" s="2"/>
      <c r="CK33" s="2"/>
      <c r="CL33" s="2"/>
      <c r="CM33" s="2">
        <v>0</v>
      </c>
      <c r="CN33" s="2" t="s">
        <v>6</v>
      </c>
      <c r="CO33" s="2">
        <v>0</v>
      </c>
      <c r="CP33" s="2">
        <f t="shared" ref="CP33:CP80" si="64">(P33+Q33+S33)</f>
        <v>323</v>
      </c>
      <c r="CQ33" s="2">
        <f t="shared" ref="CQ33:CQ80" si="65">AC33*BC33</f>
        <v>0</v>
      </c>
      <c r="CR33" s="2">
        <f t="shared" ref="CR33:CR80" si="66">AD33*BB33</f>
        <v>0.99</v>
      </c>
      <c r="CS33" s="2">
        <f t="shared" ref="CS33:CS80" si="67">AE33*BS33</f>
        <v>0.03</v>
      </c>
      <c r="CT33" s="2">
        <f t="shared" ref="CT33:CT80" si="68">AF33*BA33</f>
        <v>10.67</v>
      </c>
      <c r="CU33" s="2">
        <f t="shared" ref="CU33:CU80" si="69">AG33</f>
        <v>0</v>
      </c>
      <c r="CV33" s="2">
        <f t="shared" ref="CV33:CV80" si="70">AH33</f>
        <v>1.1000000000000001</v>
      </c>
      <c r="CW33" s="2">
        <f t="shared" ref="CW33:CW80" si="71">AI33</f>
        <v>0.01</v>
      </c>
      <c r="CX33" s="2">
        <f t="shared" ref="CX33:CX80" si="72">AJ33</f>
        <v>0</v>
      </c>
      <c r="CY33" s="2">
        <f>(((S33+R33)*AT33)/100)</f>
        <v>311.85000000000002</v>
      </c>
      <c r="CZ33" s="2">
        <f>(((S33+R33)*AU33)/100)</f>
        <v>163.35</v>
      </c>
      <c r="DA33" s="2"/>
      <c r="DB33" s="2"/>
      <c r="DC33" s="2" t="s">
        <v>6</v>
      </c>
      <c r="DD33" s="2" t="s">
        <v>6</v>
      </c>
      <c r="DE33" s="2" t="s">
        <v>6</v>
      </c>
      <c r="DF33" s="2" t="s">
        <v>6</v>
      </c>
      <c r="DG33" s="2" t="s">
        <v>6</v>
      </c>
      <c r="DH33" s="2" t="s">
        <v>6</v>
      </c>
      <c r="DI33" s="2" t="s">
        <v>6</v>
      </c>
      <c r="DJ33" s="2" t="s">
        <v>6</v>
      </c>
      <c r="DK33" s="2" t="s">
        <v>6</v>
      </c>
      <c r="DL33" s="2" t="s">
        <v>6</v>
      </c>
      <c r="DM33" s="2" t="s">
        <v>6</v>
      </c>
      <c r="DN33" s="2">
        <v>0</v>
      </c>
      <c r="DO33" s="2">
        <v>0</v>
      </c>
      <c r="DP33" s="2">
        <v>1</v>
      </c>
      <c r="DQ33" s="2">
        <v>1</v>
      </c>
      <c r="DR33" s="2"/>
      <c r="DS33" s="2"/>
      <c r="DT33" s="2"/>
      <c r="DU33" s="2">
        <v>1005</v>
      </c>
      <c r="DV33" s="2" t="s">
        <v>50</v>
      </c>
      <c r="DW33" s="2" t="s">
        <v>50</v>
      </c>
      <c r="DX33" s="2">
        <v>100</v>
      </c>
      <c r="DY33" s="2"/>
      <c r="DZ33" s="2" t="s">
        <v>6</v>
      </c>
      <c r="EA33" s="2" t="s">
        <v>6</v>
      </c>
      <c r="EB33" s="2" t="s">
        <v>6</v>
      </c>
      <c r="EC33" s="2" t="s">
        <v>6</v>
      </c>
      <c r="ED33" s="2"/>
      <c r="EE33" s="2">
        <v>54328923</v>
      </c>
      <c r="EF33" s="2">
        <v>2</v>
      </c>
      <c r="EG33" s="2" t="s">
        <v>25</v>
      </c>
      <c r="EH33" s="2">
        <v>0</v>
      </c>
      <c r="EI33" s="2" t="s">
        <v>6</v>
      </c>
      <c r="EJ33" s="2">
        <v>1</v>
      </c>
      <c r="EK33" s="2">
        <v>24</v>
      </c>
      <c r="EL33" s="2" t="s">
        <v>26</v>
      </c>
      <c r="EM33" s="2" t="s">
        <v>52</v>
      </c>
      <c r="EN33" s="2"/>
      <c r="EO33" s="2" t="s">
        <v>6</v>
      </c>
      <c r="EP33" s="2"/>
      <c r="EQ33" s="2">
        <v>131072</v>
      </c>
      <c r="ER33" s="2">
        <v>11.84</v>
      </c>
      <c r="ES33" s="2">
        <v>0.18</v>
      </c>
      <c r="ET33" s="2">
        <v>0.99</v>
      </c>
      <c r="EU33" s="2">
        <v>0.03</v>
      </c>
      <c r="EV33" s="2">
        <v>10.67</v>
      </c>
      <c r="EW33" s="2">
        <v>1.1000000000000001</v>
      </c>
      <c r="EX33" s="2">
        <v>0.01</v>
      </c>
      <c r="EY33" s="2">
        <v>1</v>
      </c>
      <c r="EZ33" s="2"/>
      <c r="FA33" s="2"/>
      <c r="FB33" s="2"/>
      <c r="FC33" s="2"/>
      <c r="FD33" s="2"/>
      <c r="FE33" s="2"/>
      <c r="FF33" s="2"/>
      <c r="FG33" s="2"/>
      <c r="FH33" s="2"/>
      <c r="FI33" s="2"/>
      <c r="FJ33" s="2"/>
      <c r="FK33" s="2"/>
      <c r="FL33" s="2"/>
      <c r="FM33" s="2"/>
      <c r="FN33" s="2"/>
      <c r="FO33" s="2"/>
      <c r="FP33" s="2"/>
      <c r="FQ33" s="2">
        <v>0</v>
      </c>
      <c r="FR33" s="2">
        <f t="shared" ref="FR33:FR80" si="73">ROUND(IF(BI33=3,GM33,0),0)</f>
        <v>0</v>
      </c>
      <c r="FS33" s="2">
        <v>0</v>
      </c>
      <c r="FT33" s="2"/>
      <c r="FU33" s="2"/>
      <c r="FV33" s="2"/>
      <c r="FW33" s="2"/>
      <c r="FX33" s="2">
        <v>105</v>
      </c>
      <c r="FY33" s="2">
        <v>55</v>
      </c>
      <c r="FZ33" s="2"/>
      <c r="GA33" s="2" t="s">
        <v>6</v>
      </c>
      <c r="GB33" s="2"/>
      <c r="GC33" s="2"/>
      <c r="GD33" s="2">
        <v>1</v>
      </c>
      <c r="GE33" s="2"/>
      <c r="GF33" s="2">
        <v>1067086452</v>
      </c>
      <c r="GG33" s="2">
        <v>2</v>
      </c>
      <c r="GH33" s="2">
        <v>1</v>
      </c>
      <c r="GI33" s="2">
        <v>-2</v>
      </c>
      <c r="GJ33" s="2">
        <v>0</v>
      </c>
      <c r="GK33" s="2">
        <v>0</v>
      </c>
      <c r="GL33" s="2">
        <f t="shared" ref="GL33:GL80" si="74">ROUND(IF(AND(BH33=3,BI33=3,FS33&lt;&gt;0),P33,0),0)</f>
        <v>0</v>
      </c>
      <c r="GM33" s="2">
        <f t="shared" ref="GM33:GM80" si="75">ROUND(O33+X33+Y33,0)+GX33</f>
        <v>798</v>
      </c>
      <c r="GN33" s="2">
        <f t="shared" ref="GN33:GN80" si="76">IF(OR(BI33=0,BI33=1),GM33-GX33,0)</f>
        <v>798</v>
      </c>
      <c r="GO33" s="2">
        <f t="shared" ref="GO33:GO80" si="77">IF(BI33=2,GM33-GX33,0)</f>
        <v>0</v>
      </c>
      <c r="GP33" s="2">
        <f t="shared" ref="GP33:GP80" si="78">IF(BI33=4,GM33-GX33,0)</f>
        <v>0</v>
      </c>
      <c r="GQ33" s="2"/>
      <c r="GR33" s="2">
        <v>0</v>
      </c>
      <c r="GS33" s="2">
        <v>3</v>
      </c>
      <c r="GT33" s="2">
        <v>0</v>
      </c>
      <c r="GU33" s="2" t="s">
        <v>6</v>
      </c>
      <c r="GV33" s="2">
        <f t="shared" ref="GV33:GV80" si="79">ROUND((GT33),2)</f>
        <v>0</v>
      </c>
      <c r="GW33" s="2">
        <v>1</v>
      </c>
      <c r="GX33" s="2">
        <f t="shared" ref="GX33:GX80" si="80">ROUND(HC33*I33,0)</f>
        <v>0</v>
      </c>
      <c r="GY33" s="2"/>
      <c r="GZ33" s="2"/>
      <c r="HA33" s="2">
        <v>0</v>
      </c>
      <c r="HB33" s="2">
        <v>0</v>
      </c>
      <c r="HC33" s="2">
        <f t="shared" ref="HC33:HC80" si="81">GV33*GW33</f>
        <v>0</v>
      </c>
      <c r="HD33" s="2"/>
      <c r="HE33" s="2" t="s">
        <v>6</v>
      </c>
      <c r="HF33" s="2" t="s">
        <v>6</v>
      </c>
      <c r="HG33" s="2"/>
      <c r="HH33" s="2"/>
      <c r="HI33" s="2"/>
      <c r="HJ33" s="2"/>
      <c r="HK33" s="2"/>
      <c r="HL33" s="2"/>
      <c r="HM33" s="2" t="s">
        <v>6</v>
      </c>
      <c r="HN33" s="2" t="s">
        <v>6</v>
      </c>
      <c r="HO33" s="2" t="s">
        <v>6</v>
      </c>
      <c r="HP33" s="2" t="s">
        <v>6</v>
      </c>
      <c r="HQ33" s="2" t="s">
        <v>6</v>
      </c>
      <c r="HR33" s="2"/>
      <c r="HS33" s="2"/>
      <c r="HT33" s="2"/>
      <c r="HU33" s="2"/>
      <c r="HV33" s="2"/>
      <c r="HW33" s="2"/>
      <c r="HX33" s="2"/>
      <c r="HY33" s="2"/>
      <c r="HZ33" s="2"/>
      <c r="IA33" s="2"/>
      <c r="IB33" s="2"/>
      <c r="IC33" s="2"/>
      <c r="ID33" s="2"/>
      <c r="IE33" s="2"/>
      <c r="IF33" s="2">
        <v>-1</v>
      </c>
      <c r="IG33" s="2"/>
      <c r="IH33" s="2"/>
      <c r="II33" s="2"/>
      <c r="IJ33" s="2"/>
      <c r="IK33" s="2">
        <v>0</v>
      </c>
      <c r="IL33" s="2"/>
      <c r="IM33" s="2"/>
      <c r="IN33" s="2"/>
      <c r="IO33" s="2"/>
      <c r="IP33" s="2"/>
      <c r="IQ33" s="2"/>
      <c r="IR33" s="2"/>
      <c r="IS33" s="2"/>
      <c r="IT33" s="2"/>
      <c r="IU33" s="2"/>
    </row>
    <row r="34" spans="1:255" x14ac:dyDescent="0.2">
      <c r="A34">
        <v>17</v>
      </c>
      <c r="B34">
        <v>1</v>
      </c>
      <c r="C34">
        <f>ROW(SmtRes!A24)</f>
        <v>24</v>
      </c>
      <c r="D34">
        <f>ROW(EtalonRes!A24)</f>
        <v>24</v>
      </c>
      <c r="E34" t="s">
        <v>40</v>
      </c>
      <c r="F34" t="s">
        <v>48</v>
      </c>
      <c r="G34" t="s">
        <v>49</v>
      </c>
      <c r="H34" t="s">
        <v>50</v>
      </c>
      <c r="I34">
        <f>'2.Лок.смета.и.Акт'!E30</f>
        <v>27.713000000000001</v>
      </c>
      <c r="J34">
        <v>0</v>
      </c>
      <c r="K34">
        <v>27.713000000000001</v>
      </c>
      <c r="O34">
        <f t="shared" si="45"/>
        <v>11643</v>
      </c>
      <c r="P34">
        <f t="shared" si="46"/>
        <v>0</v>
      </c>
      <c r="Q34">
        <f t="shared" si="47"/>
        <v>350</v>
      </c>
      <c r="R34">
        <f t="shared" si="48"/>
        <v>25</v>
      </c>
      <c r="S34">
        <f t="shared" si="49"/>
        <v>11293</v>
      </c>
      <c r="T34">
        <f t="shared" si="50"/>
        <v>0</v>
      </c>
      <c r="U34" t="e">
        <f t="shared" si="51"/>
        <v>#REF!</v>
      </c>
      <c r="V34">
        <f t="shared" si="52"/>
        <v>0.27713000000000004</v>
      </c>
      <c r="W34">
        <f t="shared" si="53"/>
        <v>0</v>
      </c>
      <c r="X34" t="e">
        <f t="shared" si="54"/>
        <v>#REF!</v>
      </c>
      <c r="Y34" t="e">
        <f t="shared" si="55"/>
        <v>#REF!</v>
      </c>
      <c r="AA34">
        <v>74242617</v>
      </c>
      <c r="AB34">
        <f t="shared" si="56"/>
        <v>11.66</v>
      </c>
      <c r="AC34">
        <f>ROUND((ES34+(SUM(SmtRes!BC19:'SmtRes'!BC24)+SUM(EtalonRes!AL19:'EtalonRes'!AL24))),2)</f>
        <v>0</v>
      </c>
      <c r="AD34">
        <f t="shared" si="57"/>
        <v>0.99</v>
      </c>
      <c r="AE34">
        <f t="shared" si="58"/>
        <v>0.03</v>
      </c>
      <c r="AF34">
        <f t="shared" si="59"/>
        <v>10.67</v>
      </c>
      <c r="AG34">
        <f t="shared" si="60"/>
        <v>0</v>
      </c>
      <c r="AH34" t="e">
        <f t="shared" si="61"/>
        <v>#REF!</v>
      </c>
      <c r="AI34">
        <f t="shared" si="62"/>
        <v>0.01</v>
      </c>
      <c r="AJ34">
        <f t="shared" si="63"/>
        <v>0</v>
      </c>
      <c r="AK34">
        <f>AL34+AM34+AO34</f>
        <v>11.84</v>
      </c>
      <c r="AL34">
        <v>0.18</v>
      </c>
      <c r="AM34" s="76">
        <f>'1.Лок.смета.и.Акт'!F71</f>
        <v>0.99</v>
      </c>
      <c r="AN34" s="76">
        <f>'1.Лок.смета.и.Акт'!F72</f>
        <v>0.03</v>
      </c>
      <c r="AO34" s="76">
        <f>'1.Лок.смета.и.Акт'!F70</f>
        <v>10.67</v>
      </c>
      <c r="AP34">
        <v>0</v>
      </c>
      <c r="AQ34" t="e">
        <f>'2.Лок.смета.и.Акт'!#REF!</f>
        <v>#REF!</v>
      </c>
      <c r="AR34">
        <v>0.01</v>
      </c>
      <c r="AS34">
        <v>0</v>
      </c>
      <c r="AT34">
        <v>105</v>
      </c>
      <c r="AU34">
        <v>55</v>
      </c>
      <c r="AV34">
        <v>1</v>
      </c>
      <c r="AW34">
        <v>1</v>
      </c>
      <c r="AZ34">
        <v>1</v>
      </c>
      <c r="BA34">
        <f>'1.Лок.смета.и.Акт'!J70</f>
        <v>38.19</v>
      </c>
      <c r="BB34">
        <f>'1.Лок.смета.и.Акт'!J71</f>
        <v>12.77</v>
      </c>
      <c r="BC34">
        <v>7.56</v>
      </c>
      <c r="BD34" t="s">
        <v>6</v>
      </c>
      <c r="BE34" t="s">
        <v>6</v>
      </c>
      <c r="BF34" t="s">
        <v>6</v>
      </c>
      <c r="BG34" t="s">
        <v>6</v>
      </c>
      <c r="BH34">
        <v>0</v>
      </c>
      <c r="BI34">
        <v>1</v>
      </c>
      <c r="BJ34" t="s">
        <v>51</v>
      </c>
      <c r="BM34">
        <v>24</v>
      </c>
      <c r="BN34">
        <v>0</v>
      </c>
      <c r="BO34" t="s">
        <v>48</v>
      </c>
      <c r="BP34">
        <v>1</v>
      </c>
      <c r="BQ34">
        <v>2</v>
      </c>
      <c r="BR34">
        <v>0</v>
      </c>
      <c r="BS34">
        <f>'1.Лок.смета.и.Акт'!J72</f>
        <v>30.1</v>
      </c>
      <c r="BT34">
        <v>1</v>
      </c>
      <c r="BU34">
        <v>1</v>
      </c>
      <c r="BV34">
        <v>1</v>
      </c>
      <c r="BW34">
        <v>1</v>
      </c>
      <c r="BX34">
        <v>1</v>
      </c>
      <c r="BY34" t="s">
        <v>6</v>
      </c>
      <c r="BZ34" t="e">
        <f>'2.Лок.смета.и.Акт'!#REF!</f>
        <v>#REF!</v>
      </c>
      <c r="CA34" t="e">
        <f>'2.Лок.смета.и.Акт'!#REF!</f>
        <v>#REF!</v>
      </c>
      <c r="CB34" t="s">
        <v>6</v>
      </c>
      <c r="CE34">
        <v>0</v>
      </c>
      <c r="CF34">
        <v>0</v>
      </c>
      <c r="CG34">
        <v>0</v>
      </c>
      <c r="CM34">
        <v>0</v>
      </c>
      <c r="CN34" t="s">
        <v>6</v>
      </c>
      <c r="CO34">
        <v>0</v>
      </c>
      <c r="CP34">
        <f t="shared" si="64"/>
        <v>11643</v>
      </c>
      <c r="CQ34">
        <f t="shared" si="65"/>
        <v>0</v>
      </c>
      <c r="CR34">
        <f t="shared" si="66"/>
        <v>12.642299999999999</v>
      </c>
      <c r="CS34">
        <f t="shared" si="67"/>
        <v>0.90300000000000002</v>
      </c>
      <c r="CT34">
        <f t="shared" si="68"/>
        <v>407.48729999999995</v>
      </c>
      <c r="CU34">
        <f t="shared" si="69"/>
        <v>0</v>
      </c>
      <c r="CV34" t="e">
        <f t="shared" si="70"/>
        <v>#REF!</v>
      </c>
      <c r="CW34">
        <f t="shared" si="71"/>
        <v>0.01</v>
      </c>
      <c r="CX34">
        <f t="shared" si="72"/>
        <v>0</v>
      </c>
      <c r="CY34" t="e">
        <f>(S34+R34)*(BZ34/100)</f>
        <v>#REF!</v>
      </c>
      <c r="CZ34" t="e">
        <f>(S34+R34)*(CA34/100)</f>
        <v>#REF!</v>
      </c>
      <c r="DC34" t="s">
        <v>6</v>
      </c>
      <c r="DD34" t="s">
        <v>6</v>
      </c>
      <c r="DE34" t="s">
        <v>6</v>
      </c>
      <c r="DF34" t="s">
        <v>6</v>
      </c>
      <c r="DG34" t="s">
        <v>6</v>
      </c>
      <c r="DH34" t="s">
        <v>6</v>
      </c>
      <c r="DI34" t="s">
        <v>6</v>
      </c>
      <c r="DJ34" t="s">
        <v>6</v>
      </c>
      <c r="DK34" t="s">
        <v>6</v>
      </c>
      <c r="DL34" t="s">
        <v>6</v>
      </c>
      <c r="DM34" t="s">
        <v>6</v>
      </c>
      <c r="DN34">
        <f>'1.Лок.смета.и.Акт'!E73</f>
        <v>105</v>
      </c>
      <c r="DO34">
        <f>'1.Лок.смета.и.Акт'!E74</f>
        <v>55</v>
      </c>
      <c r="DP34">
        <v>1</v>
      </c>
      <c r="DQ34">
        <v>1</v>
      </c>
      <c r="DU34">
        <v>1005</v>
      </c>
      <c r="DV34" t="s">
        <v>50</v>
      </c>
      <c r="DW34" t="str">
        <f>'2.Лок.смета.и.Акт'!D30</f>
        <v>100 м2</v>
      </c>
      <c r="DX34">
        <v>100</v>
      </c>
      <c r="DZ34" t="s">
        <v>6</v>
      </c>
      <c r="EA34" t="s">
        <v>6</v>
      </c>
      <c r="EB34" t="s">
        <v>6</v>
      </c>
      <c r="EC34" t="s">
        <v>6</v>
      </c>
      <c r="EE34">
        <v>54328923</v>
      </c>
      <c r="EF34">
        <v>2</v>
      </c>
      <c r="EG34" t="s">
        <v>25</v>
      </c>
      <c r="EH34">
        <v>0</v>
      </c>
      <c r="EI34" t="s">
        <v>6</v>
      </c>
      <c r="EJ34">
        <v>1</v>
      </c>
      <c r="EK34">
        <v>24</v>
      </c>
      <c r="EL34" t="s">
        <v>26</v>
      </c>
      <c r="EM34" t="s">
        <v>52</v>
      </c>
      <c r="EO34" t="s">
        <v>6</v>
      </c>
      <c r="EQ34">
        <v>131072</v>
      </c>
      <c r="ER34">
        <f>ES34+ET34+EV34</f>
        <v>11.84</v>
      </c>
      <c r="ES34">
        <v>0.18</v>
      </c>
      <c r="ET34" s="76">
        <f>'1.Лок.смета.и.Акт'!F71</f>
        <v>0.99</v>
      </c>
      <c r="EU34" s="76">
        <f>'1.Лок.смета.и.Акт'!F72</f>
        <v>0.03</v>
      </c>
      <c r="EV34" s="76">
        <f>'1.Лок.смета.и.Акт'!F70</f>
        <v>10.67</v>
      </c>
      <c r="EW34" t="e">
        <f>'2.Лок.смета.и.Акт'!#REF!</f>
        <v>#REF!</v>
      </c>
      <c r="EX34">
        <v>0.01</v>
      </c>
      <c r="EY34">
        <v>1</v>
      </c>
      <c r="FQ34">
        <v>0</v>
      </c>
      <c r="FR34">
        <f t="shared" si="73"/>
        <v>0</v>
      </c>
      <c r="FS34">
        <v>0</v>
      </c>
      <c r="FX34">
        <v>105</v>
      </c>
      <c r="FY34">
        <v>55</v>
      </c>
      <c r="GA34" t="s">
        <v>6</v>
      </c>
      <c r="GD34">
        <v>1</v>
      </c>
      <c r="GF34">
        <v>1067086452</v>
      </c>
      <c r="GG34">
        <v>2</v>
      </c>
      <c r="GH34">
        <v>1</v>
      </c>
      <c r="GI34">
        <v>2</v>
      </c>
      <c r="GJ34">
        <v>0</v>
      </c>
      <c r="GK34">
        <v>0</v>
      </c>
      <c r="GL34">
        <f t="shared" si="74"/>
        <v>0</v>
      </c>
      <c r="GM34" t="e">
        <f t="shared" si="75"/>
        <v>#REF!</v>
      </c>
      <c r="GN34" t="e">
        <f t="shared" si="76"/>
        <v>#REF!</v>
      </c>
      <c r="GO34">
        <f t="shared" si="77"/>
        <v>0</v>
      </c>
      <c r="GP34">
        <f t="shared" si="78"/>
        <v>0</v>
      </c>
      <c r="GR34">
        <v>0</v>
      </c>
      <c r="GS34">
        <v>3</v>
      </c>
      <c r="GT34">
        <v>0</v>
      </c>
      <c r="GU34" t="s">
        <v>6</v>
      </c>
      <c r="GV34">
        <f t="shared" si="79"/>
        <v>0</v>
      </c>
      <c r="GW34">
        <v>1004.1</v>
      </c>
      <c r="GX34">
        <f t="shared" si="80"/>
        <v>0</v>
      </c>
      <c r="HA34">
        <v>0</v>
      </c>
      <c r="HB34">
        <v>0</v>
      </c>
      <c r="HC34">
        <f t="shared" si="81"/>
        <v>0</v>
      </c>
      <c r="HE34" t="s">
        <v>6</v>
      </c>
      <c r="HF34" t="s">
        <v>6</v>
      </c>
      <c r="HM34" t="s">
        <v>6</v>
      </c>
      <c r="HN34" t="s">
        <v>6</v>
      </c>
      <c r="HO34" t="s">
        <v>6</v>
      </c>
      <c r="HP34" t="s">
        <v>6</v>
      </c>
      <c r="HQ34" t="s">
        <v>6</v>
      </c>
      <c r="IF34">
        <v>-1</v>
      </c>
      <c r="IK34">
        <v>0</v>
      </c>
    </row>
    <row r="35" spans="1:255" x14ac:dyDescent="0.2">
      <c r="A35" s="2">
        <v>18</v>
      </c>
      <c r="B35" s="2">
        <v>1</v>
      </c>
      <c r="C35" s="2">
        <v>17</v>
      </c>
      <c r="D35" s="2"/>
      <c r="E35" s="2" t="s">
        <v>53</v>
      </c>
      <c r="F35" s="2" t="s">
        <v>31</v>
      </c>
      <c r="G35" s="2" t="s">
        <v>32</v>
      </c>
      <c r="H35" s="2" t="s">
        <v>33</v>
      </c>
      <c r="I35" s="2">
        <f>I33*J35</f>
        <v>2.7713000000000001</v>
      </c>
      <c r="J35" s="207">
        <f>'5.Ведомость_списания'!F33</f>
        <v>0.1</v>
      </c>
      <c r="K35" s="2">
        <v>0.1</v>
      </c>
      <c r="L35" s="2"/>
      <c r="M35" s="2"/>
      <c r="N35" s="2"/>
      <c r="O35" s="2">
        <f t="shared" si="45"/>
        <v>5</v>
      </c>
      <c r="P35" s="2">
        <f t="shared" si="46"/>
        <v>5</v>
      </c>
      <c r="Q35" s="2">
        <f t="shared" si="47"/>
        <v>0</v>
      </c>
      <c r="R35" s="2">
        <f t="shared" si="48"/>
        <v>0</v>
      </c>
      <c r="S35" s="2">
        <f t="shared" si="49"/>
        <v>0</v>
      </c>
      <c r="T35" s="2">
        <f t="shared" si="50"/>
        <v>0</v>
      </c>
      <c r="U35" s="2">
        <f t="shared" si="51"/>
        <v>0</v>
      </c>
      <c r="V35" s="2">
        <f t="shared" si="52"/>
        <v>0</v>
      </c>
      <c r="W35" s="2">
        <f t="shared" si="53"/>
        <v>0</v>
      </c>
      <c r="X35" s="2">
        <f t="shared" si="54"/>
        <v>0</v>
      </c>
      <c r="Y35" s="2">
        <f t="shared" si="55"/>
        <v>0</v>
      </c>
      <c r="Z35" s="2"/>
      <c r="AA35" s="2">
        <v>74242616</v>
      </c>
      <c r="AB35" s="2">
        <f t="shared" si="56"/>
        <v>1.82</v>
      </c>
      <c r="AC35" s="2">
        <f>ROUND((ES35),2)</f>
        <v>1.82</v>
      </c>
      <c r="AD35" s="2">
        <f t="shared" si="57"/>
        <v>0</v>
      </c>
      <c r="AE35" s="2">
        <f t="shared" si="58"/>
        <v>0</v>
      </c>
      <c r="AF35" s="2">
        <f t="shared" si="59"/>
        <v>0</v>
      </c>
      <c r="AG35" s="2">
        <f t="shared" si="60"/>
        <v>0</v>
      </c>
      <c r="AH35" s="2">
        <f t="shared" si="61"/>
        <v>0</v>
      </c>
      <c r="AI35" s="2">
        <f t="shared" si="62"/>
        <v>0</v>
      </c>
      <c r="AJ35" s="2">
        <f t="shared" si="63"/>
        <v>0</v>
      </c>
      <c r="AK35" s="2">
        <v>1.82</v>
      </c>
      <c r="AL35" s="111">
        <f>'1.Лок.смета.и.Акт'!F76</f>
        <v>1.82</v>
      </c>
      <c r="AM35" s="2">
        <v>0</v>
      </c>
      <c r="AN35" s="2">
        <v>0</v>
      </c>
      <c r="AO35" s="2">
        <v>0</v>
      </c>
      <c r="AP35" s="2">
        <v>0</v>
      </c>
      <c r="AQ35" s="2">
        <v>0</v>
      </c>
      <c r="AR35" s="2">
        <v>0</v>
      </c>
      <c r="AS35" s="2">
        <v>0</v>
      </c>
      <c r="AT35" s="2">
        <v>0</v>
      </c>
      <c r="AU35" s="2">
        <v>0</v>
      </c>
      <c r="AV35" s="2">
        <v>1</v>
      </c>
      <c r="AW35" s="2">
        <v>1</v>
      </c>
      <c r="AX35" s="2"/>
      <c r="AY35" s="2"/>
      <c r="AZ35" s="2">
        <v>1</v>
      </c>
      <c r="BA35" s="2">
        <v>1</v>
      </c>
      <c r="BB35" s="2">
        <v>1</v>
      </c>
      <c r="BC35" s="2">
        <v>1</v>
      </c>
      <c r="BD35" s="2" t="s">
        <v>6</v>
      </c>
      <c r="BE35" s="2" t="s">
        <v>6</v>
      </c>
      <c r="BF35" s="2" t="s">
        <v>6</v>
      </c>
      <c r="BG35" s="2" t="s">
        <v>6</v>
      </c>
      <c r="BH35" s="2">
        <v>3</v>
      </c>
      <c r="BI35" s="2">
        <v>1</v>
      </c>
      <c r="BJ35" s="2" t="s">
        <v>34</v>
      </c>
      <c r="BK35" s="2"/>
      <c r="BL35" s="2"/>
      <c r="BM35" s="2">
        <v>500001</v>
      </c>
      <c r="BN35" s="2">
        <v>0</v>
      </c>
      <c r="BO35" s="2" t="s">
        <v>6</v>
      </c>
      <c r="BP35" s="2">
        <v>0</v>
      </c>
      <c r="BQ35" s="2">
        <v>8</v>
      </c>
      <c r="BR35" s="2">
        <v>0</v>
      </c>
      <c r="BS35" s="2">
        <v>1</v>
      </c>
      <c r="BT35" s="2">
        <v>1</v>
      </c>
      <c r="BU35" s="2">
        <v>1</v>
      </c>
      <c r="BV35" s="2">
        <v>1</v>
      </c>
      <c r="BW35" s="2">
        <v>1</v>
      </c>
      <c r="BX35" s="2">
        <v>1</v>
      </c>
      <c r="BY35" s="2" t="s">
        <v>6</v>
      </c>
      <c r="BZ35" s="2">
        <v>0</v>
      </c>
      <c r="CA35" s="2">
        <v>0</v>
      </c>
      <c r="CB35" s="2" t="s">
        <v>6</v>
      </c>
      <c r="CC35" s="2"/>
      <c r="CD35" s="2"/>
      <c r="CE35" s="2">
        <v>0</v>
      </c>
      <c r="CF35" s="2">
        <v>0</v>
      </c>
      <c r="CG35" s="2">
        <v>0</v>
      </c>
      <c r="CH35" s="2"/>
      <c r="CI35" s="2"/>
      <c r="CJ35" s="2"/>
      <c r="CK35" s="2"/>
      <c r="CL35" s="2"/>
      <c r="CM35" s="2">
        <v>0</v>
      </c>
      <c r="CN35" s="2" t="s">
        <v>6</v>
      </c>
      <c r="CO35" s="2">
        <v>0</v>
      </c>
      <c r="CP35" s="2">
        <f t="shared" si="64"/>
        <v>5</v>
      </c>
      <c r="CQ35" s="2">
        <f t="shared" si="65"/>
        <v>1.82</v>
      </c>
      <c r="CR35" s="2">
        <f t="shared" si="66"/>
        <v>0</v>
      </c>
      <c r="CS35" s="2">
        <f t="shared" si="67"/>
        <v>0</v>
      </c>
      <c r="CT35" s="2">
        <f t="shared" si="68"/>
        <v>0</v>
      </c>
      <c r="CU35" s="2">
        <f t="shared" si="69"/>
        <v>0</v>
      </c>
      <c r="CV35" s="2">
        <f t="shared" si="70"/>
        <v>0</v>
      </c>
      <c r="CW35" s="2">
        <f t="shared" si="71"/>
        <v>0</v>
      </c>
      <c r="CX35" s="2">
        <f t="shared" si="72"/>
        <v>0</v>
      </c>
      <c r="CY35" s="2">
        <f>(((S35+R35)*AT35)/100)</f>
        <v>0</v>
      </c>
      <c r="CZ35" s="2">
        <f>(((S35+R35)*AU35)/100)</f>
        <v>0</v>
      </c>
      <c r="DA35" s="2"/>
      <c r="DB35" s="2"/>
      <c r="DC35" s="2" t="s">
        <v>6</v>
      </c>
      <c r="DD35" s="2" t="s">
        <v>6</v>
      </c>
      <c r="DE35" s="2" t="s">
        <v>6</v>
      </c>
      <c r="DF35" s="2" t="s">
        <v>6</v>
      </c>
      <c r="DG35" s="2" t="s">
        <v>6</v>
      </c>
      <c r="DH35" s="2" t="s">
        <v>6</v>
      </c>
      <c r="DI35" s="2" t="s">
        <v>6</v>
      </c>
      <c r="DJ35" s="2" t="s">
        <v>6</v>
      </c>
      <c r="DK35" s="2" t="s">
        <v>6</v>
      </c>
      <c r="DL35" s="2" t="s">
        <v>6</v>
      </c>
      <c r="DM35" s="2" t="s">
        <v>6</v>
      </c>
      <c r="DN35" s="2">
        <v>0</v>
      </c>
      <c r="DO35" s="2">
        <v>0</v>
      </c>
      <c r="DP35" s="2">
        <v>1</v>
      </c>
      <c r="DQ35" s="2">
        <v>1</v>
      </c>
      <c r="DR35" s="2"/>
      <c r="DS35" s="2"/>
      <c r="DT35" s="2"/>
      <c r="DU35" s="2">
        <v>1009</v>
      </c>
      <c r="DV35" s="2" t="s">
        <v>33</v>
      </c>
      <c r="DW35" s="2" t="s">
        <v>33</v>
      </c>
      <c r="DX35" s="2">
        <v>1</v>
      </c>
      <c r="DY35" s="2"/>
      <c r="DZ35" s="2" t="s">
        <v>6</v>
      </c>
      <c r="EA35" s="2" t="s">
        <v>6</v>
      </c>
      <c r="EB35" s="2" t="s">
        <v>6</v>
      </c>
      <c r="EC35" s="2" t="s">
        <v>6</v>
      </c>
      <c r="ED35" s="2"/>
      <c r="EE35" s="2">
        <v>54328897</v>
      </c>
      <c r="EF35" s="2">
        <v>8</v>
      </c>
      <c r="EG35" s="2" t="s">
        <v>35</v>
      </c>
      <c r="EH35" s="2">
        <v>0</v>
      </c>
      <c r="EI35" s="2" t="s">
        <v>6</v>
      </c>
      <c r="EJ35" s="2">
        <v>1</v>
      </c>
      <c r="EK35" s="2">
        <v>500001</v>
      </c>
      <c r="EL35" s="2" t="s">
        <v>36</v>
      </c>
      <c r="EM35" s="2" t="s">
        <v>37</v>
      </c>
      <c r="EN35" s="2"/>
      <c r="EO35" s="2" t="s">
        <v>6</v>
      </c>
      <c r="EP35" s="2"/>
      <c r="EQ35" s="2">
        <v>0</v>
      </c>
      <c r="ER35" s="2">
        <v>1.82</v>
      </c>
      <c r="ES35" s="111">
        <f>'1.Лок.смета.и.Акт'!F76</f>
        <v>1.82</v>
      </c>
      <c r="ET35" s="2">
        <v>0</v>
      </c>
      <c r="EU35" s="2">
        <v>0</v>
      </c>
      <c r="EV35" s="2">
        <v>0</v>
      </c>
      <c r="EW35" s="2">
        <v>0</v>
      </c>
      <c r="EX35" s="2">
        <v>0</v>
      </c>
      <c r="EY35" s="2"/>
      <c r="EZ35" s="2"/>
      <c r="FA35" s="2"/>
      <c r="FB35" s="2"/>
      <c r="FC35" s="2"/>
      <c r="FD35" s="2"/>
      <c r="FE35" s="2"/>
      <c r="FF35" s="2"/>
      <c r="FG35" s="2"/>
      <c r="FH35" s="2"/>
      <c r="FI35" s="2"/>
      <c r="FJ35" s="2"/>
      <c r="FK35" s="2"/>
      <c r="FL35" s="2"/>
      <c r="FM35" s="2"/>
      <c r="FN35" s="2"/>
      <c r="FO35" s="2"/>
      <c r="FP35" s="2"/>
      <c r="FQ35" s="2">
        <v>0</v>
      </c>
      <c r="FR35" s="2">
        <f t="shared" si="73"/>
        <v>0</v>
      </c>
      <c r="FS35" s="2">
        <v>0</v>
      </c>
      <c r="FT35" s="2"/>
      <c r="FU35" s="2"/>
      <c r="FV35" s="2"/>
      <c r="FW35" s="2"/>
      <c r="FX35" s="2">
        <v>0</v>
      </c>
      <c r="FY35" s="2">
        <v>0</v>
      </c>
      <c r="FZ35" s="2"/>
      <c r="GA35" s="2" t="s">
        <v>6</v>
      </c>
      <c r="GB35" s="2"/>
      <c r="GC35" s="2"/>
      <c r="GD35" s="2">
        <v>1</v>
      </c>
      <c r="GE35" s="2"/>
      <c r="GF35" s="2">
        <v>-386994921</v>
      </c>
      <c r="GG35" s="2">
        <v>2</v>
      </c>
      <c r="GH35" s="2">
        <v>0</v>
      </c>
      <c r="GI35" s="2">
        <v>-2</v>
      </c>
      <c r="GJ35" s="2">
        <v>0</v>
      </c>
      <c r="GK35" s="2">
        <v>0</v>
      </c>
      <c r="GL35" s="2">
        <f t="shared" si="74"/>
        <v>0</v>
      </c>
      <c r="GM35" s="2">
        <f t="shared" si="75"/>
        <v>5</v>
      </c>
      <c r="GN35" s="2">
        <f t="shared" si="76"/>
        <v>5</v>
      </c>
      <c r="GO35" s="2">
        <f t="shared" si="77"/>
        <v>0</v>
      </c>
      <c r="GP35" s="2">
        <f t="shared" si="78"/>
        <v>0</v>
      </c>
      <c r="GQ35" s="2"/>
      <c r="GR35" s="2">
        <v>0</v>
      </c>
      <c r="GS35" s="2">
        <v>3</v>
      </c>
      <c r="GT35" s="2">
        <v>0</v>
      </c>
      <c r="GU35" s="2" t="s">
        <v>6</v>
      </c>
      <c r="GV35" s="2">
        <f t="shared" si="79"/>
        <v>0</v>
      </c>
      <c r="GW35" s="2">
        <v>1</v>
      </c>
      <c r="GX35" s="2">
        <f t="shared" si="80"/>
        <v>0</v>
      </c>
      <c r="GY35" s="2"/>
      <c r="GZ35" s="2"/>
      <c r="HA35" s="2">
        <v>0</v>
      </c>
      <c r="HB35" s="2">
        <v>0</v>
      </c>
      <c r="HC35" s="2">
        <f t="shared" si="81"/>
        <v>0</v>
      </c>
      <c r="HD35" s="2"/>
      <c r="HE35" s="2" t="s">
        <v>6</v>
      </c>
      <c r="HF35" s="2" t="s">
        <v>6</v>
      </c>
      <c r="HG35" s="2"/>
      <c r="HH35" s="2"/>
      <c r="HI35" s="2"/>
      <c r="HJ35" s="2"/>
      <c r="HK35" s="2"/>
      <c r="HL35" s="2"/>
      <c r="HM35" s="2" t="s">
        <v>6</v>
      </c>
      <c r="HN35" s="2" t="s">
        <v>6</v>
      </c>
      <c r="HO35" s="2" t="s">
        <v>6</v>
      </c>
      <c r="HP35" s="2" t="s">
        <v>6</v>
      </c>
      <c r="HQ35" s="2" t="s">
        <v>6</v>
      </c>
      <c r="HR35" s="2"/>
      <c r="HS35" s="2"/>
      <c r="HT35" s="2"/>
      <c r="HU35" s="2"/>
      <c r="HV35" s="2"/>
      <c r="HW35" s="2"/>
      <c r="HX35" s="2"/>
      <c r="HY35" s="2"/>
      <c r="HZ35" s="2"/>
      <c r="IA35" s="2"/>
      <c r="IB35" s="2"/>
      <c r="IC35" s="2"/>
      <c r="ID35" s="2"/>
      <c r="IE35" s="2"/>
      <c r="IF35" s="2">
        <v>-1</v>
      </c>
      <c r="IG35" s="2"/>
      <c r="IH35" s="2"/>
      <c r="II35" s="2"/>
      <c r="IJ35" s="2"/>
      <c r="IK35" s="2">
        <v>0</v>
      </c>
      <c r="IL35" s="2"/>
      <c r="IM35" s="2"/>
      <c r="IN35" s="2"/>
      <c r="IO35" s="2"/>
      <c r="IP35" s="2"/>
      <c r="IQ35" s="2"/>
      <c r="IR35" s="2"/>
      <c r="IS35" s="2"/>
      <c r="IT35" s="2"/>
      <c r="IU35" s="2"/>
    </row>
    <row r="36" spans="1:255" x14ac:dyDescent="0.2">
      <c r="A36">
        <v>18</v>
      </c>
      <c r="B36">
        <v>1</v>
      </c>
      <c r="C36">
        <v>23</v>
      </c>
      <c r="E36" t="s">
        <v>53</v>
      </c>
      <c r="F36" t="e">
        <f>'2.Лок.смета.и.Акт'!#REF!</f>
        <v>#REF!</v>
      </c>
      <c r="G36" t="s">
        <v>32</v>
      </c>
      <c r="H36" t="s">
        <v>33</v>
      </c>
      <c r="I36">
        <f>I34*J36</f>
        <v>2.7713000000000001</v>
      </c>
      <c r="J36">
        <v>0.1</v>
      </c>
      <c r="K36">
        <v>0.1</v>
      </c>
      <c r="O36">
        <f t="shared" si="45"/>
        <v>90</v>
      </c>
      <c r="P36">
        <f t="shared" si="46"/>
        <v>90</v>
      </c>
      <c r="Q36">
        <f t="shared" si="47"/>
        <v>0</v>
      </c>
      <c r="R36">
        <f t="shared" si="48"/>
        <v>0</v>
      </c>
      <c r="S36">
        <f t="shared" si="49"/>
        <v>0</v>
      </c>
      <c r="T36">
        <f t="shared" si="50"/>
        <v>0</v>
      </c>
      <c r="U36">
        <f t="shared" si="51"/>
        <v>0</v>
      </c>
      <c r="V36">
        <f t="shared" si="52"/>
        <v>0</v>
      </c>
      <c r="W36">
        <f t="shared" si="53"/>
        <v>0</v>
      </c>
      <c r="X36">
        <f t="shared" si="54"/>
        <v>0</v>
      </c>
      <c r="Y36">
        <f t="shared" si="55"/>
        <v>0</v>
      </c>
      <c r="AA36">
        <v>74242617</v>
      </c>
      <c r="AB36">
        <f t="shared" si="56"/>
        <v>4.28</v>
      </c>
      <c r="AC36">
        <f>ROUND((ES36),2)</f>
        <v>4.28</v>
      </c>
      <c r="AD36">
        <f t="shared" si="57"/>
        <v>0</v>
      </c>
      <c r="AE36">
        <f t="shared" si="58"/>
        <v>0</v>
      </c>
      <c r="AF36">
        <f t="shared" si="59"/>
        <v>0</v>
      </c>
      <c r="AG36">
        <f t="shared" si="60"/>
        <v>0</v>
      </c>
      <c r="AH36">
        <f t="shared" si="61"/>
        <v>0</v>
      </c>
      <c r="AI36">
        <f t="shared" si="62"/>
        <v>0</v>
      </c>
      <c r="AJ36">
        <f t="shared" si="63"/>
        <v>0</v>
      </c>
      <c r="AK36">
        <v>4.2799999999999994</v>
      </c>
      <c r="AL36">
        <v>4.2799999999999994</v>
      </c>
      <c r="AM36">
        <v>0</v>
      </c>
      <c r="AN36">
        <v>0</v>
      </c>
      <c r="AO36">
        <v>0</v>
      </c>
      <c r="AP36">
        <v>0</v>
      </c>
      <c r="AQ36">
        <v>0</v>
      </c>
      <c r="AR36">
        <v>0</v>
      </c>
      <c r="AS36">
        <v>0</v>
      </c>
      <c r="AT36">
        <v>0</v>
      </c>
      <c r="AU36">
        <v>0</v>
      </c>
      <c r="AV36">
        <v>1</v>
      </c>
      <c r="AW36">
        <v>1</v>
      </c>
      <c r="AZ36">
        <v>1</v>
      </c>
      <c r="BA36">
        <v>1</v>
      </c>
      <c r="BB36">
        <v>1</v>
      </c>
      <c r="BC36">
        <v>7.56</v>
      </c>
      <c r="BD36" t="s">
        <v>6</v>
      </c>
      <c r="BE36" t="s">
        <v>6</v>
      </c>
      <c r="BF36" t="s">
        <v>6</v>
      </c>
      <c r="BG36" t="s">
        <v>6</v>
      </c>
      <c r="BH36">
        <v>3</v>
      </c>
      <c r="BI36">
        <v>1</v>
      </c>
      <c r="BJ36" t="s">
        <v>34</v>
      </c>
      <c r="BM36">
        <v>500001</v>
      </c>
      <c r="BN36">
        <v>0</v>
      </c>
      <c r="BO36" t="s">
        <v>6</v>
      </c>
      <c r="BP36">
        <v>0</v>
      </c>
      <c r="BQ36">
        <v>8</v>
      </c>
      <c r="BR36">
        <v>0</v>
      </c>
      <c r="BS36">
        <v>1</v>
      </c>
      <c r="BT36">
        <v>1</v>
      </c>
      <c r="BU36">
        <v>1</v>
      </c>
      <c r="BV36">
        <v>1</v>
      </c>
      <c r="BW36">
        <v>1</v>
      </c>
      <c r="BX36">
        <v>1</v>
      </c>
      <c r="BY36" t="s">
        <v>6</v>
      </c>
      <c r="BZ36">
        <v>0</v>
      </c>
      <c r="CA36">
        <v>0</v>
      </c>
      <c r="CB36" t="s">
        <v>6</v>
      </c>
      <c r="CE36">
        <v>0</v>
      </c>
      <c r="CF36">
        <v>0</v>
      </c>
      <c r="CG36">
        <v>0</v>
      </c>
      <c r="CM36">
        <v>0</v>
      </c>
      <c r="CN36" t="s">
        <v>6</v>
      </c>
      <c r="CO36">
        <v>0</v>
      </c>
      <c r="CP36">
        <f t="shared" si="64"/>
        <v>90</v>
      </c>
      <c r="CQ36">
        <f t="shared" si="65"/>
        <v>32.3568</v>
      </c>
      <c r="CR36">
        <f t="shared" si="66"/>
        <v>0</v>
      </c>
      <c r="CS36">
        <f t="shared" si="67"/>
        <v>0</v>
      </c>
      <c r="CT36">
        <f t="shared" si="68"/>
        <v>0</v>
      </c>
      <c r="CU36">
        <f t="shared" si="69"/>
        <v>0</v>
      </c>
      <c r="CV36">
        <f t="shared" si="70"/>
        <v>0</v>
      </c>
      <c r="CW36">
        <f t="shared" si="71"/>
        <v>0</v>
      </c>
      <c r="CX36">
        <f t="shared" si="72"/>
        <v>0</v>
      </c>
      <c r="CY36">
        <f>(S36+R36)*(BZ36/100)</f>
        <v>0</v>
      </c>
      <c r="CZ36">
        <f>(S36+R36)*(CA36/100)</f>
        <v>0</v>
      </c>
      <c r="DC36" t="s">
        <v>6</v>
      </c>
      <c r="DD36" t="s">
        <v>6</v>
      </c>
      <c r="DE36" t="s">
        <v>6</v>
      </c>
      <c r="DF36" t="s">
        <v>6</v>
      </c>
      <c r="DG36" t="s">
        <v>6</v>
      </c>
      <c r="DH36" t="s">
        <v>6</v>
      </c>
      <c r="DI36" t="s">
        <v>6</v>
      </c>
      <c r="DJ36" t="s">
        <v>6</v>
      </c>
      <c r="DK36" t="s">
        <v>6</v>
      </c>
      <c r="DL36" t="s">
        <v>6</v>
      </c>
      <c r="DM36" t="s">
        <v>6</v>
      </c>
      <c r="DN36">
        <v>0</v>
      </c>
      <c r="DO36">
        <v>0</v>
      </c>
      <c r="DP36">
        <v>1</v>
      </c>
      <c r="DQ36">
        <v>1</v>
      </c>
      <c r="DU36">
        <v>1009</v>
      </c>
      <c r="DV36" t="s">
        <v>33</v>
      </c>
      <c r="DW36" t="e">
        <f>'2.Лок.смета.и.Акт'!#REF!</f>
        <v>#REF!</v>
      </c>
      <c r="DX36">
        <v>1</v>
      </c>
      <c r="DZ36" t="s">
        <v>6</v>
      </c>
      <c r="EA36" t="s">
        <v>6</v>
      </c>
      <c r="EB36" t="s">
        <v>6</v>
      </c>
      <c r="EC36" t="s">
        <v>6</v>
      </c>
      <c r="EE36">
        <v>54328897</v>
      </c>
      <c r="EF36">
        <v>8</v>
      </c>
      <c r="EG36" t="s">
        <v>35</v>
      </c>
      <c r="EH36">
        <v>0</v>
      </c>
      <c r="EI36" t="s">
        <v>6</v>
      </c>
      <c r="EJ36">
        <v>1</v>
      </c>
      <c r="EK36">
        <v>500001</v>
      </c>
      <c r="EL36" t="s">
        <v>36</v>
      </c>
      <c r="EM36" t="s">
        <v>37</v>
      </c>
      <c r="EO36" t="s">
        <v>6</v>
      </c>
      <c r="EQ36">
        <v>0</v>
      </c>
      <c r="ER36">
        <v>31</v>
      </c>
      <c r="ES36">
        <v>4.2799999999999994</v>
      </c>
      <c r="ET36">
        <v>0</v>
      </c>
      <c r="EU36">
        <v>0</v>
      </c>
      <c r="EV36">
        <v>0</v>
      </c>
      <c r="EW36">
        <v>0</v>
      </c>
      <c r="EX36">
        <v>0</v>
      </c>
      <c r="EZ36">
        <v>5</v>
      </c>
      <c r="FC36">
        <v>0</v>
      </c>
      <c r="FD36">
        <v>18</v>
      </c>
      <c r="FF36">
        <v>31</v>
      </c>
      <c r="FQ36">
        <v>0</v>
      </c>
      <c r="FR36">
        <f t="shared" si="73"/>
        <v>0</v>
      </c>
      <c r="FS36">
        <v>0</v>
      </c>
      <c r="FX36">
        <v>0</v>
      </c>
      <c r="FY36">
        <v>0</v>
      </c>
      <c r="GA36" t="s">
        <v>38</v>
      </c>
      <c r="GD36">
        <v>1</v>
      </c>
      <c r="GF36">
        <v>-386994921</v>
      </c>
      <c r="GG36">
        <v>2</v>
      </c>
      <c r="GH36">
        <v>3</v>
      </c>
      <c r="GI36">
        <v>5</v>
      </c>
      <c r="GJ36">
        <v>0</v>
      </c>
      <c r="GK36">
        <v>0</v>
      </c>
      <c r="GL36">
        <f t="shared" si="74"/>
        <v>0</v>
      </c>
      <c r="GM36">
        <f t="shared" si="75"/>
        <v>90</v>
      </c>
      <c r="GN36">
        <f t="shared" si="76"/>
        <v>90</v>
      </c>
      <c r="GO36">
        <f t="shared" si="77"/>
        <v>0</v>
      </c>
      <c r="GP36">
        <f t="shared" si="78"/>
        <v>0</v>
      </c>
      <c r="GR36">
        <v>1</v>
      </c>
      <c r="GS36">
        <v>1</v>
      </c>
      <c r="GT36">
        <v>0</v>
      </c>
      <c r="GU36" t="s">
        <v>6</v>
      </c>
      <c r="GV36">
        <f t="shared" si="79"/>
        <v>0</v>
      </c>
      <c r="GW36">
        <v>1</v>
      </c>
      <c r="GX36">
        <f t="shared" si="80"/>
        <v>0</v>
      </c>
      <c r="HA36">
        <v>0</v>
      </c>
      <c r="HB36">
        <v>0</v>
      </c>
      <c r="HC36">
        <f t="shared" si="81"/>
        <v>0</v>
      </c>
      <c r="HE36" t="s">
        <v>39</v>
      </c>
      <c r="HF36" t="s">
        <v>40</v>
      </c>
      <c r="HM36" t="s">
        <v>6</v>
      </c>
      <c r="HN36" t="s">
        <v>6</v>
      </c>
      <c r="HO36" t="s">
        <v>6</v>
      </c>
      <c r="HP36" t="s">
        <v>6</v>
      </c>
      <c r="HQ36" t="s">
        <v>6</v>
      </c>
      <c r="IF36">
        <v>-1</v>
      </c>
      <c r="IK36">
        <v>0</v>
      </c>
    </row>
    <row r="37" spans="1:255" x14ac:dyDescent="0.2">
      <c r="A37" s="2">
        <v>18</v>
      </c>
      <c r="B37" s="2">
        <v>1</v>
      </c>
      <c r="C37" s="2">
        <v>18</v>
      </c>
      <c r="D37" s="2"/>
      <c r="E37" s="2" t="s">
        <v>54</v>
      </c>
      <c r="F37" s="2" t="s">
        <v>42</v>
      </c>
      <c r="G37" s="2" t="s">
        <v>55</v>
      </c>
      <c r="H37" s="2" t="s">
        <v>44</v>
      </c>
      <c r="I37" s="2">
        <f>I33*J37</f>
        <v>0.36581200000000003</v>
      </c>
      <c r="J37" s="207">
        <f>'5.Ведомость_списания'!F34</f>
        <v>1.3200014433659294E-2</v>
      </c>
      <c r="K37" s="2">
        <v>1.32E-2</v>
      </c>
      <c r="L37" s="2"/>
      <c r="M37" s="2"/>
      <c r="N37" s="2"/>
      <c r="O37" s="2">
        <f t="shared" si="45"/>
        <v>4131</v>
      </c>
      <c r="P37" s="2">
        <f t="shared" si="46"/>
        <v>4131</v>
      </c>
      <c r="Q37" s="2">
        <f t="shared" si="47"/>
        <v>0</v>
      </c>
      <c r="R37" s="2">
        <f t="shared" si="48"/>
        <v>0</v>
      </c>
      <c r="S37" s="2">
        <f t="shared" si="49"/>
        <v>0</v>
      </c>
      <c r="T37" s="2">
        <f t="shared" si="50"/>
        <v>0</v>
      </c>
      <c r="U37" s="2">
        <f t="shared" si="51"/>
        <v>0</v>
      </c>
      <c r="V37" s="2">
        <f t="shared" si="52"/>
        <v>0</v>
      </c>
      <c r="W37" s="2">
        <f t="shared" si="53"/>
        <v>4</v>
      </c>
      <c r="X37" s="2">
        <f t="shared" si="54"/>
        <v>0</v>
      </c>
      <c r="Y37" s="2">
        <f t="shared" si="55"/>
        <v>0</v>
      </c>
      <c r="Z37" s="2"/>
      <c r="AA37" s="2">
        <v>74242616</v>
      </c>
      <c r="AB37" s="2">
        <f t="shared" si="56"/>
        <v>11293.16</v>
      </c>
      <c r="AC37" s="2">
        <f>ROUND((ES37),2)</f>
        <v>11293.16</v>
      </c>
      <c r="AD37" s="2">
        <f t="shared" si="57"/>
        <v>0</v>
      </c>
      <c r="AE37" s="2">
        <f t="shared" si="58"/>
        <v>0</v>
      </c>
      <c r="AF37" s="2">
        <f t="shared" si="59"/>
        <v>0</v>
      </c>
      <c r="AG37" s="2">
        <f t="shared" si="60"/>
        <v>0</v>
      </c>
      <c r="AH37" s="2">
        <f t="shared" si="61"/>
        <v>0</v>
      </c>
      <c r="AI37" s="2">
        <f t="shared" si="62"/>
        <v>0</v>
      </c>
      <c r="AJ37" s="2">
        <f t="shared" si="63"/>
        <v>11.06</v>
      </c>
      <c r="AK37" s="2">
        <v>11293.16</v>
      </c>
      <c r="AL37" s="111">
        <f>'1.Лок.смета.и.Акт'!F78</f>
        <v>11293.16</v>
      </c>
      <c r="AM37" s="2">
        <v>0</v>
      </c>
      <c r="AN37" s="2">
        <v>0</v>
      </c>
      <c r="AO37" s="2">
        <v>0</v>
      </c>
      <c r="AP37" s="2">
        <v>0</v>
      </c>
      <c r="AQ37" s="2">
        <v>0</v>
      </c>
      <c r="AR37" s="2">
        <v>0</v>
      </c>
      <c r="AS37" s="2">
        <v>11.06</v>
      </c>
      <c r="AT37" s="2">
        <v>0</v>
      </c>
      <c r="AU37" s="2">
        <v>0</v>
      </c>
      <c r="AV37" s="2">
        <v>1</v>
      </c>
      <c r="AW37" s="2">
        <v>1</v>
      </c>
      <c r="AX37" s="2"/>
      <c r="AY37" s="2"/>
      <c r="AZ37" s="2">
        <v>1</v>
      </c>
      <c r="BA37" s="2">
        <v>1</v>
      </c>
      <c r="BB37" s="2">
        <v>1</v>
      </c>
      <c r="BC37" s="2">
        <v>1</v>
      </c>
      <c r="BD37" s="2" t="s">
        <v>6</v>
      </c>
      <c r="BE37" s="2" t="s">
        <v>6</v>
      </c>
      <c r="BF37" s="2" t="s">
        <v>6</v>
      </c>
      <c r="BG37" s="2" t="s">
        <v>6</v>
      </c>
      <c r="BH37" s="2">
        <v>3</v>
      </c>
      <c r="BI37" s="2">
        <v>1</v>
      </c>
      <c r="BJ37" s="2" t="s">
        <v>45</v>
      </c>
      <c r="BK37" s="2"/>
      <c r="BL37" s="2"/>
      <c r="BM37" s="2">
        <v>500001</v>
      </c>
      <c r="BN37" s="2">
        <v>0</v>
      </c>
      <c r="BO37" s="2" t="s">
        <v>6</v>
      </c>
      <c r="BP37" s="2">
        <v>0</v>
      </c>
      <c r="BQ37" s="2">
        <v>8</v>
      </c>
      <c r="BR37" s="2">
        <v>0</v>
      </c>
      <c r="BS37" s="2">
        <v>1</v>
      </c>
      <c r="BT37" s="2">
        <v>1</v>
      </c>
      <c r="BU37" s="2">
        <v>1</v>
      </c>
      <c r="BV37" s="2">
        <v>1</v>
      </c>
      <c r="BW37" s="2">
        <v>1</v>
      </c>
      <c r="BX37" s="2">
        <v>1</v>
      </c>
      <c r="BY37" s="2" t="s">
        <v>6</v>
      </c>
      <c r="BZ37" s="2">
        <v>0</v>
      </c>
      <c r="CA37" s="2">
        <v>0</v>
      </c>
      <c r="CB37" s="2" t="s">
        <v>6</v>
      </c>
      <c r="CC37" s="2"/>
      <c r="CD37" s="2"/>
      <c r="CE37" s="2">
        <v>0</v>
      </c>
      <c r="CF37" s="2">
        <v>0</v>
      </c>
      <c r="CG37" s="2">
        <v>0</v>
      </c>
      <c r="CH37" s="2"/>
      <c r="CI37" s="2"/>
      <c r="CJ37" s="2"/>
      <c r="CK37" s="2"/>
      <c r="CL37" s="2"/>
      <c r="CM37" s="2">
        <v>0</v>
      </c>
      <c r="CN37" s="2" t="s">
        <v>6</v>
      </c>
      <c r="CO37" s="2">
        <v>0</v>
      </c>
      <c r="CP37" s="2">
        <f t="shared" si="64"/>
        <v>4131</v>
      </c>
      <c r="CQ37" s="2">
        <f t="shared" si="65"/>
        <v>11293.16</v>
      </c>
      <c r="CR37" s="2">
        <f t="shared" si="66"/>
        <v>0</v>
      </c>
      <c r="CS37" s="2">
        <f t="shared" si="67"/>
        <v>0</v>
      </c>
      <c r="CT37" s="2">
        <f t="shared" si="68"/>
        <v>0</v>
      </c>
      <c r="CU37" s="2">
        <f t="shared" si="69"/>
        <v>0</v>
      </c>
      <c r="CV37" s="2">
        <f t="shared" si="70"/>
        <v>0</v>
      </c>
      <c r="CW37" s="2">
        <f t="shared" si="71"/>
        <v>0</v>
      </c>
      <c r="CX37" s="2">
        <f t="shared" si="72"/>
        <v>11.06</v>
      </c>
      <c r="CY37" s="2">
        <f>(((S37+R37)*AT37)/100)</f>
        <v>0</v>
      </c>
      <c r="CZ37" s="2">
        <f>(((S37+R37)*AU37)/100)</f>
        <v>0</v>
      </c>
      <c r="DA37" s="2"/>
      <c r="DB37" s="2"/>
      <c r="DC37" s="2" t="s">
        <v>6</v>
      </c>
      <c r="DD37" s="2" t="s">
        <v>6</v>
      </c>
      <c r="DE37" s="2" t="s">
        <v>6</v>
      </c>
      <c r="DF37" s="2" t="s">
        <v>6</v>
      </c>
      <c r="DG37" s="2" t="s">
        <v>6</v>
      </c>
      <c r="DH37" s="2" t="s">
        <v>6</v>
      </c>
      <c r="DI37" s="2" t="s">
        <v>6</v>
      </c>
      <c r="DJ37" s="2" t="s">
        <v>6</v>
      </c>
      <c r="DK37" s="2" t="s">
        <v>6</v>
      </c>
      <c r="DL37" s="2" t="s">
        <v>6</v>
      </c>
      <c r="DM37" s="2" t="s">
        <v>6</v>
      </c>
      <c r="DN37" s="2">
        <v>0</v>
      </c>
      <c r="DO37" s="2">
        <v>0</v>
      </c>
      <c r="DP37" s="2">
        <v>1</v>
      </c>
      <c r="DQ37" s="2">
        <v>1</v>
      </c>
      <c r="DR37" s="2"/>
      <c r="DS37" s="2"/>
      <c r="DT37" s="2"/>
      <c r="DU37" s="2">
        <v>1009</v>
      </c>
      <c r="DV37" s="2" t="s">
        <v>44</v>
      </c>
      <c r="DW37" s="2" t="s">
        <v>44</v>
      </c>
      <c r="DX37" s="2">
        <v>1000</v>
      </c>
      <c r="DY37" s="2"/>
      <c r="DZ37" s="2" t="s">
        <v>6</v>
      </c>
      <c r="EA37" s="2" t="s">
        <v>6</v>
      </c>
      <c r="EB37" s="2" t="s">
        <v>6</v>
      </c>
      <c r="EC37" s="2" t="s">
        <v>6</v>
      </c>
      <c r="ED37" s="2"/>
      <c r="EE37" s="2">
        <v>54328897</v>
      </c>
      <c r="EF37" s="2">
        <v>8</v>
      </c>
      <c r="EG37" s="2" t="s">
        <v>35</v>
      </c>
      <c r="EH37" s="2">
        <v>0</v>
      </c>
      <c r="EI37" s="2" t="s">
        <v>6</v>
      </c>
      <c r="EJ37" s="2">
        <v>1</v>
      </c>
      <c r="EK37" s="2">
        <v>500001</v>
      </c>
      <c r="EL37" s="2" t="s">
        <v>36</v>
      </c>
      <c r="EM37" s="2" t="s">
        <v>37</v>
      </c>
      <c r="EN37" s="2"/>
      <c r="EO37" s="2" t="s">
        <v>6</v>
      </c>
      <c r="EP37" s="2"/>
      <c r="EQ37" s="2">
        <v>0</v>
      </c>
      <c r="ER37" s="2">
        <v>11293.16</v>
      </c>
      <c r="ES37" s="111">
        <f>'1.Лок.смета.и.Акт'!F78</f>
        <v>11293.16</v>
      </c>
      <c r="ET37" s="2">
        <v>0</v>
      </c>
      <c r="EU37" s="2">
        <v>0</v>
      </c>
      <c r="EV37" s="2">
        <v>0</v>
      </c>
      <c r="EW37" s="2">
        <v>0</v>
      </c>
      <c r="EX37" s="2">
        <v>0</v>
      </c>
      <c r="EY37" s="2"/>
      <c r="EZ37" s="2"/>
      <c r="FA37" s="2"/>
      <c r="FB37" s="2"/>
      <c r="FC37" s="2"/>
      <c r="FD37" s="2"/>
      <c r="FE37" s="2"/>
      <c r="FF37" s="2"/>
      <c r="FG37" s="2"/>
      <c r="FH37" s="2"/>
      <c r="FI37" s="2"/>
      <c r="FJ37" s="2"/>
      <c r="FK37" s="2"/>
      <c r="FL37" s="2"/>
      <c r="FM37" s="2"/>
      <c r="FN37" s="2"/>
      <c r="FO37" s="2"/>
      <c r="FP37" s="2"/>
      <c r="FQ37" s="2">
        <v>0</v>
      </c>
      <c r="FR37" s="2">
        <f t="shared" si="73"/>
        <v>0</v>
      </c>
      <c r="FS37" s="2">
        <v>0</v>
      </c>
      <c r="FT37" s="2"/>
      <c r="FU37" s="2"/>
      <c r="FV37" s="2"/>
      <c r="FW37" s="2"/>
      <c r="FX37" s="2">
        <v>0</v>
      </c>
      <c r="FY37" s="2">
        <v>0</v>
      </c>
      <c r="FZ37" s="2"/>
      <c r="GA37" s="2" t="s">
        <v>6</v>
      </c>
      <c r="GB37" s="2"/>
      <c r="GC37" s="2"/>
      <c r="GD37" s="2">
        <v>1</v>
      </c>
      <c r="GE37" s="2"/>
      <c r="GF37" s="2">
        <v>-1720905458</v>
      </c>
      <c r="GG37" s="2">
        <v>2</v>
      </c>
      <c r="GH37" s="2">
        <v>1</v>
      </c>
      <c r="GI37" s="2">
        <v>-2</v>
      </c>
      <c r="GJ37" s="2">
        <v>0</v>
      </c>
      <c r="GK37" s="2">
        <v>0</v>
      </c>
      <c r="GL37" s="2">
        <f t="shared" si="74"/>
        <v>0</v>
      </c>
      <c r="GM37" s="2">
        <f t="shared" si="75"/>
        <v>4131</v>
      </c>
      <c r="GN37" s="2">
        <f t="shared" si="76"/>
        <v>4131</v>
      </c>
      <c r="GO37" s="2">
        <f t="shared" si="77"/>
        <v>0</v>
      </c>
      <c r="GP37" s="2">
        <f t="shared" si="78"/>
        <v>0</v>
      </c>
      <c r="GQ37" s="2"/>
      <c r="GR37" s="2">
        <v>0</v>
      </c>
      <c r="GS37" s="2">
        <v>3</v>
      </c>
      <c r="GT37" s="2">
        <v>0</v>
      </c>
      <c r="GU37" s="2" t="s">
        <v>6</v>
      </c>
      <c r="GV37" s="2">
        <f t="shared" si="79"/>
        <v>0</v>
      </c>
      <c r="GW37" s="2">
        <v>1</v>
      </c>
      <c r="GX37" s="2">
        <f t="shared" si="80"/>
        <v>0</v>
      </c>
      <c r="GY37" s="2"/>
      <c r="GZ37" s="2"/>
      <c r="HA37" s="2">
        <v>0</v>
      </c>
      <c r="HB37" s="2">
        <v>0</v>
      </c>
      <c r="HC37" s="2">
        <f t="shared" si="81"/>
        <v>0</v>
      </c>
      <c r="HD37" s="2"/>
      <c r="HE37" s="2" t="s">
        <v>6</v>
      </c>
      <c r="HF37" s="2" t="s">
        <v>6</v>
      </c>
      <c r="HG37" s="2"/>
      <c r="HH37" s="2"/>
      <c r="HI37" s="2"/>
      <c r="HJ37" s="2"/>
      <c r="HK37" s="2"/>
      <c r="HL37" s="2"/>
      <c r="HM37" s="2" t="s">
        <v>6</v>
      </c>
      <c r="HN37" s="2" t="s">
        <v>6</v>
      </c>
      <c r="HO37" s="2" t="s">
        <v>6</v>
      </c>
      <c r="HP37" s="2" t="s">
        <v>6</v>
      </c>
      <c r="HQ37" s="2" t="s">
        <v>6</v>
      </c>
      <c r="HR37" s="2"/>
      <c r="HS37" s="2"/>
      <c r="HT37" s="2"/>
      <c r="HU37" s="2"/>
      <c r="HV37" s="2"/>
      <c r="HW37" s="2"/>
      <c r="HX37" s="2"/>
      <c r="HY37" s="2"/>
      <c r="HZ37" s="2"/>
      <c r="IA37" s="2"/>
      <c r="IB37" s="2"/>
      <c r="IC37" s="2"/>
      <c r="ID37" s="2"/>
      <c r="IE37" s="2"/>
      <c r="IF37" s="2">
        <v>-1</v>
      </c>
      <c r="IG37" s="2"/>
      <c r="IH37" s="2"/>
      <c r="II37" s="2"/>
      <c r="IJ37" s="2"/>
      <c r="IK37" s="2">
        <v>0</v>
      </c>
      <c r="IL37" s="2"/>
      <c r="IM37" s="2"/>
      <c r="IN37" s="2"/>
      <c r="IO37" s="2"/>
      <c r="IP37" s="2"/>
      <c r="IQ37" s="2"/>
      <c r="IR37" s="2"/>
      <c r="IS37" s="2"/>
      <c r="IT37" s="2"/>
      <c r="IU37" s="2"/>
    </row>
    <row r="38" spans="1:255" x14ac:dyDescent="0.2">
      <c r="A38">
        <v>18</v>
      </c>
      <c r="B38">
        <v>1</v>
      </c>
      <c r="C38">
        <v>24</v>
      </c>
      <c r="E38" t="s">
        <v>54</v>
      </c>
      <c r="F38" t="e">
        <f>'2.Лок.смета.и.Акт'!#REF!</f>
        <v>#REF!</v>
      </c>
      <c r="G38" t="s">
        <v>55</v>
      </c>
      <c r="H38" t="s">
        <v>44</v>
      </c>
      <c r="I38">
        <f>I34*J38</f>
        <v>0.36581200000000003</v>
      </c>
      <c r="J38">
        <v>1.3200014433659294E-2</v>
      </c>
      <c r="K38">
        <v>1.32E-2</v>
      </c>
      <c r="O38">
        <f t="shared" si="45"/>
        <v>15424</v>
      </c>
      <c r="P38">
        <f t="shared" si="46"/>
        <v>15424</v>
      </c>
      <c r="Q38">
        <f t="shared" si="47"/>
        <v>0</v>
      </c>
      <c r="R38">
        <f t="shared" si="48"/>
        <v>0</v>
      </c>
      <c r="S38">
        <f t="shared" si="49"/>
        <v>0</v>
      </c>
      <c r="T38">
        <f t="shared" si="50"/>
        <v>0</v>
      </c>
      <c r="U38">
        <f t="shared" si="51"/>
        <v>0</v>
      </c>
      <c r="V38">
        <f t="shared" si="52"/>
        <v>0</v>
      </c>
      <c r="W38">
        <f t="shared" si="53"/>
        <v>4</v>
      </c>
      <c r="X38">
        <f t="shared" si="54"/>
        <v>0</v>
      </c>
      <c r="Y38">
        <f t="shared" si="55"/>
        <v>0</v>
      </c>
      <c r="AA38">
        <v>74242617</v>
      </c>
      <c r="AB38">
        <f t="shared" si="56"/>
        <v>5577.39</v>
      </c>
      <c r="AC38">
        <f>ROUND((ES38),2)</f>
        <v>5577.39</v>
      </c>
      <c r="AD38">
        <f t="shared" si="57"/>
        <v>0</v>
      </c>
      <c r="AE38">
        <f t="shared" si="58"/>
        <v>0</v>
      </c>
      <c r="AF38">
        <f t="shared" si="59"/>
        <v>0</v>
      </c>
      <c r="AG38">
        <f t="shared" si="60"/>
        <v>0</v>
      </c>
      <c r="AH38">
        <f t="shared" si="61"/>
        <v>0</v>
      </c>
      <c r="AI38">
        <f t="shared" si="62"/>
        <v>0</v>
      </c>
      <c r="AJ38">
        <f t="shared" si="63"/>
        <v>11.06</v>
      </c>
      <c r="AK38">
        <v>5577.3899999999994</v>
      </c>
      <c r="AL38">
        <v>5577.3899999999994</v>
      </c>
      <c r="AM38">
        <v>0</v>
      </c>
      <c r="AN38">
        <v>0</v>
      </c>
      <c r="AO38">
        <v>0</v>
      </c>
      <c r="AP38">
        <v>0</v>
      </c>
      <c r="AQ38">
        <v>0</v>
      </c>
      <c r="AR38">
        <v>0</v>
      </c>
      <c r="AS38">
        <v>11.06</v>
      </c>
      <c r="AT38">
        <v>0</v>
      </c>
      <c r="AU38">
        <v>0</v>
      </c>
      <c r="AV38">
        <v>1</v>
      </c>
      <c r="AW38">
        <v>1</v>
      </c>
      <c r="AZ38">
        <v>1</v>
      </c>
      <c r="BA38">
        <v>1</v>
      </c>
      <c r="BB38">
        <v>1</v>
      </c>
      <c r="BC38">
        <v>7.56</v>
      </c>
      <c r="BD38" t="s">
        <v>6</v>
      </c>
      <c r="BE38" t="s">
        <v>6</v>
      </c>
      <c r="BF38" t="s">
        <v>6</v>
      </c>
      <c r="BG38" t="s">
        <v>6</v>
      </c>
      <c r="BH38">
        <v>3</v>
      </c>
      <c r="BI38">
        <v>1</v>
      </c>
      <c r="BJ38" t="s">
        <v>45</v>
      </c>
      <c r="BM38">
        <v>500001</v>
      </c>
      <c r="BN38">
        <v>0</v>
      </c>
      <c r="BO38" t="s">
        <v>6</v>
      </c>
      <c r="BP38">
        <v>0</v>
      </c>
      <c r="BQ38">
        <v>8</v>
      </c>
      <c r="BR38">
        <v>0</v>
      </c>
      <c r="BS38">
        <v>1</v>
      </c>
      <c r="BT38">
        <v>1</v>
      </c>
      <c r="BU38">
        <v>1</v>
      </c>
      <c r="BV38">
        <v>1</v>
      </c>
      <c r="BW38">
        <v>1</v>
      </c>
      <c r="BX38">
        <v>1</v>
      </c>
      <c r="BY38" t="s">
        <v>6</v>
      </c>
      <c r="BZ38">
        <v>0</v>
      </c>
      <c r="CA38">
        <v>0</v>
      </c>
      <c r="CB38" t="s">
        <v>6</v>
      </c>
      <c r="CE38">
        <v>0</v>
      </c>
      <c r="CF38">
        <v>0</v>
      </c>
      <c r="CG38">
        <v>0</v>
      </c>
      <c r="CM38">
        <v>0</v>
      </c>
      <c r="CN38" t="s">
        <v>6</v>
      </c>
      <c r="CO38">
        <v>0</v>
      </c>
      <c r="CP38">
        <f t="shared" si="64"/>
        <v>15424</v>
      </c>
      <c r="CQ38">
        <f t="shared" si="65"/>
        <v>42165.068400000004</v>
      </c>
      <c r="CR38">
        <f t="shared" si="66"/>
        <v>0</v>
      </c>
      <c r="CS38">
        <f t="shared" si="67"/>
        <v>0</v>
      </c>
      <c r="CT38">
        <f t="shared" si="68"/>
        <v>0</v>
      </c>
      <c r="CU38">
        <f t="shared" si="69"/>
        <v>0</v>
      </c>
      <c r="CV38">
        <f t="shared" si="70"/>
        <v>0</v>
      </c>
      <c r="CW38">
        <f t="shared" si="71"/>
        <v>0</v>
      </c>
      <c r="CX38">
        <f t="shared" si="72"/>
        <v>11.06</v>
      </c>
      <c r="CY38">
        <f>(S38+R38)*(BZ38/100)</f>
        <v>0</v>
      </c>
      <c r="CZ38">
        <f>(S38+R38)*(CA38/100)</f>
        <v>0</v>
      </c>
      <c r="DC38" t="s">
        <v>6</v>
      </c>
      <c r="DD38" t="s">
        <v>6</v>
      </c>
      <c r="DE38" t="s">
        <v>6</v>
      </c>
      <c r="DF38" t="s">
        <v>6</v>
      </c>
      <c r="DG38" t="s">
        <v>6</v>
      </c>
      <c r="DH38" t="s">
        <v>6</v>
      </c>
      <c r="DI38" t="s">
        <v>6</v>
      </c>
      <c r="DJ38" t="s">
        <v>6</v>
      </c>
      <c r="DK38" t="s">
        <v>6</v>
      </c>
      <c r="DL38" t="s">
        <v>6</v>
      </c>
      <c r="DM38" t="s">
        <v>6</v>
      </c>
      <c r="DN38">
        <v>0</v>
      </c>
      <c r="DO38">
        <v>0</v>
      </c>
      <c r="DP38">
        <v>1</v>
      </c>
      <c r="DQ38">
        <v>1</v>
      </c>
      <c r="DU38">
        <v>1009</v>
      </c>
      <c r="DV38" t="s">
        <v>44</v>
      </c>
      <c r="DW38" t="e">
        <f>'2.Лок.смета.и.Акт'!#REF!</f>
        <v>#REF!</v>
      </c>
      <c r="DX38">
        <v>1000</v>
      </c>
      <c r="DZ38" t="s">
        <v>6</v>
      </c>
      <c r="EA38" t="s">
        <v>6</v>
      </c>
      <c r="EB38" t="s">
        <v>6</v>
      </c>
      <c r="EC38" t="s">
        <v>6</v>
      </c>
      <c r="EE38">
        <v>54328897</v>
      </c>
      <c r="EF38">
        <v>8</v>
      </c>
      <c r="EG38" t="s">
        <v>35</v>
      </c>
      <c r="EH38">
        <v>0</v>
      </c>
      <c r="EI38" t="s">
        <v>6</v>
      </c>
      <c r="EJ38">
        <v>1</v>
      </c>
      <c r="EK38">
        <v>500001</v>
      </c>
      <c r="EL38" t="s">
        <v>36</v>
      </c>
      <c r="EM38" t="s">
        <v>37</v>
      </c>
      <c r="EO38" t="s">
        <v>6</v>
      </c>
      <c r="EQ38">
        <v>0</v>
      </c>
      <c r="ER38">
        <v>5577.3899999999994</v>
      </c>
      <c r="ES38">
        <v>5577.3899999999994</v>
      </c>
      <c r="ET38">
        <v>0</v>
      </c>
      <c r="EU38">
        <v>0</v>
      </c>
      <c r="EV38">
        <v>0</v>
      </c>
      <c r="EW38">
        <v>0</v>
      </c>
      <c r="EX38">
        <v>0</v>
      </c>
      <c r="EZ38">
        <v>5</v>
      </c>
      <c r="FC38">
        <v>0</v>
      </c>
      <c r="FD38">
        <v>18</v>
      </c>
      <c r="FF38">
        <v>40330</v>
      </c>
      <c r="FQ38">
        <v>0</v>
      </c>
      <c r="FR38">
        <f t="shared" si="73"/>
        <v>0</v>
      </c>
      <c r="FS38">
        <v>0</v>
      </c>
      <c r="FX38">
        <v>0</v>
      </c>
      <c r="FY38">
        <v>0</v>
      </c>
      <c r="GA38" t="s">
        <v>46</v>
      </c>
      <c r="GD38">
        <v>1</v>
      </c>
      <c r="GF38">
        <v>-1720905458</v>
      </c>
      <c r="GG38">
        <v>2</v>
      </c>
      <c r="GH38">
        <v>3</v>
      </c>
      <c r="GI38">
        <v>5</v>
      </c>
      <c r="GJ38">
        <v>0</v>
      </c>
      <c r="GK38">
        <v>0</v>
      </c>
      <c r="GL38">
        <f t="shared" si="74"/>
        <v>0</v>
      </c>
      <c r="GM38">
        <f t="shared" si="75"/>
        <v>15424</v>
      </c>
      <c r="GN38">
        <f t="shared" si="76"/>
        <v>15424</v>
      </c>
      <c r="GO38">
        <f t="shared" si="77"/>
        <v>0</v>
      </c>
      <c r="GP38">
        <f t="shared" si="78"/>
        <v>0</v>
      </c>
      <c r="GR38">
        <v>1</v>
      </c>
      <c r="GS38">
        <v>1</v>
      </c>
      <c r="GT38">
        <v>0</v>
      </c>
      <c r="GU38" t="s">
        <v>6</v>
      </c>
      <c r="GV38">
        <f t="shared" si="79"/>
        <v>0</v>
      </c>
      <c r="GW38">
        <v>1</v>
      </c>
      <c r="GX38">
        <f t="shared" si="80"/>
        <v>0</v>
      </c>
      <c r="HA38">
        <v>0</v>
      </c>
      <c r="HB38">
        <v>0</v>
      </c>
      <c r="HC38">
        <f t="shared" si="81"/>
        <v>0</v>
      </c>
      <c r="HE38" t="s">
        <v>39</v>
      </c>
      <c r="HF38" t="s">
        <v>40</v>
      </c>
      <c r="HM38" t="s">
        <v>6</v>
      </c>
      <c r="HN38" t="s">
        <v>6</v>
      </c>
      <c r="HO38" t="s">
        <v>6</v>
      </c>
      <c r="HP38" t="s">
        <v>6</v>
      </c>
      <c r="HQ38" t="s">
        <v>6</v>
      </c>
      <c r="IF38">
        <v>-1</v>
      </c>
      <c r="IK38">
        <v>0</v>
      </c>
    </row>
    <row r="39" spans="1:255" x14ac:dyDescent="0.2">
      <c r="A39" s="2">
        <v>17</v>
      </c>
      <c r="B39" s="2">
        <v>1</v>
      </c>
      <c r="C39" s="2">
        <f>ROW(SmtRes!A33)</f>
        <v>33</v>
      </c>
      <c r="D39" s="2">
        <f>ROW(EtalonRes!A33)</f>
        <v>33</v>
      </c>
      <c r="E39" s="2" t="s">
        <v>56</v>
      </c>
      <c r="F39" s="2" t="s">
        <v>57</v>
      </c>
      <c r="G39" s="2" t="s">
        <v>58</v>
      </c>
      <c r="H39" s="2" t="s">
        <v>50</v>
      </c>
      <c r="I39" s="2">
        <f>'2.Лок.смета.и.Акт'!E31</f>
        <v>29.483000000000001</v>
      </c>
      <c r="J39" s="2">
        <v>0</v>
      </c>
      <c r="K39" s="2">
        <v>29.483000000000001</v>
      </c>
      <c r="L39" s="2"/>
      <c r="M39" s="2"/>
      <c r="N39" s="2"/>
      <c r="O39" s="2">
        <f t="shared" si="45"/>
        <v>3967</v>
      </c>
      <c r="P39" s="2">
        <f t="shared" si="46"/>
        <v>0</v>
      </c>
      <c r="Q39" s="2">
        <f t="shared" si="47"/>
        <v>222</v>
      </c>
      <c r="R39" s="2">
        <f t="shared" si="48"/>
        <v>8</v>
      </c>
      <c r="S39" s="2">
        <f t="shared" si="49"/>
        <v>3745</v>
      </c>
      <c r="T39" s="2">
        <f t="shared" si="50"/>
        <v>0</v>
      </c>
      <c r="U39" s="2">
        <f t="shared" si="51"/>
        <v>385.63764000000003</v>
      </c>
      <c r="V39" s="2">
        <f t="shared" si="52"/>
        <v>0.58966000000000007</v>
      </c>
      <c r="W39" s="2">
        <f t="shared" si="53"/>
        <v>0</v>
      </c>
      <c r="X39" s="2">
        <f t="shared" si="54"/>
        <v>3941</v>
      </c>
      <c r="Y39" s="2">
        <f t="shared" si="55"/>
        <v>2064</v>
      </c>
      <c r="Z39" s="2"/>
      <c r="AA39" s="2">
        <v>74242616</v>
      </c>
      <c r="AB39" s="2">
        <f t="shared" si="56"/>
        <v>134.53</v>
      </c>
      <c r="AC39" s="2">
        <f>ROUND((ES39+(SUM(SmtRes!BC25:'SmtRes'!BC33)+SUM(EtalonRes!AL25:'EtalonRes'!AL33))),2)</f>
        <v>0</v>
      </c>
      <c r="AD39" s="2">
        <f t="shared" si="57"/>
        <v>7.52</v>
      </c>
      <c r="AE39" s="2">
        <f t="shared" si="58"/>
        <v>0.26</v>
      </c>
      <c r="AF39" s="2">
        <f t="shared" si="59"/>
        <v>127.01</v>
      </c>
      <c r="AG39" s="2">
        <f t="shared" si="60"/>
        <v>0</v>
      </c>
      <c r="AH39" s="2">
        <f t="shared" si="61"/>
        <v>13.08</v>
      </c>
      <c r="AI39" s="2">
        <f t="shared" si="62"/>
        <v>0.02</v>
      </c>
      <c r="AJ39" s="2">
        <f t="shared" si="63"/>
        <v>0</v>
      </c>
      <c r="AK39" s="2">
        <v>364.82</v>
      </c>
      <c r="AL39" s="2">
        <v>230.29</v>
      </c>
      <c r="AM39" s="2">
        <v>7.52</v>
      </c>
      <c r="AN39" s="2">
        <v>0.26</v>
      </c>
      <c r="AO39" s="2">
        <v>127.01</v>
      </c>
      <c r="AP39" s="2">
        <v>0</v>
      </c>
      <c r="AQ39" s="2">
        <v>13.08</v>
      </c>
      <c r="AR39" s="2">
        <v>0.02</v>
      </c>
      <c r="AS39" s="2">
        <v>0</v>
      </c>
      <c r="AT39" s="2">
        <v>105</v>
      </c>
      <c r="AU39" s="2">
        <v>55</v>
      </c>
      <c r="AV39" s="2">
        <v>1</v>
      </c>
      <c r="AW39" s="2">
        <v>1</v>
      </c>
      <c r="AX39" s="2"/>
      <c r="AY39" s="2"/>
      <c r="AZ39" s="2">
        <v>1</v>
      </c>
      <c r="BA39" s="2">
        <v>1</v>
      </c>
      <c r="BB39" s="2">
        <v>1</v>
      </c>
      <c r="BC39" s="2">
        <v>1</v>
      </c>
      <c r="BD39" s="2" t="s">
        <v>6</v>
      </c>
      <c r="BE39" s="2" t="s">
        <v>6</v>
      </c>
      <c r="BF39" s="2" t="s">
        <v>6</v>
      </c>
      <c r="BG39" s="2" t="s">
        <v>6</v>
      </c>
      <c r="BH39" s="2">
        <v>0</v>
      </c>
      <c r="BI39" s="2">
        <v>1</v>
      </c>
      <c r="BJ39" s="2" t="s">
        <v>59</v>
      </c>
      <c r="BK39" s="2"/>
      <c r="BL39" s="2"/>
      <c r="BM39" s="2">
        <v>24</v>
      </c>
      <c r="BN39" s="2">
        <v>0</v>
      </c>
      <c r="BO39" s="2" t="s">
        <v>6</v>
      </c>
      <c r="BP39" s="2">
        <v>0</v>
      </c>
      <c r="BQ39" s="2">
        <v>2</v>
      </c>
      <c r="BR39" s="2">
        <v>0</v>
      </c>
      <c r="BS39" s="2">
        <v>1</v>
      </c>
      <c r="BT39" s="2">
        <v>1</v>
      </c>
      <c r="BU39" s="2">
        <v>1</v>
      </c>
      <c r="BV39" s="2">
        <v>1</v>
      </c>
      <c r="BW39" s="2">
        <v>1</v>
      </c>
      <c r="BX39" s="2">
        <v>1</v>
      </c>
      <c r="BY39" s="2" t="s">
        <v>6</v>
      </c>
      <c r="BZ39" s="2">
        <v>105</v>
      </c>
      <c r="CA39" s="2">
        <v>55</v>
      </c>
      <c r="CB39" s="2" t="s">
        <v>6</v>
      </c>
      <c r="CC39" s="2"/>
      <c r="CD39" s="2"/>
      <c r="CE39" s="2">
        <v>0</v>
      </c>
      <c r="CF39" s="2">
        <v>0</v>
      </c>
      <c r="CG39" s="2">
        <v>0</v>
      </c>
      <c r="CH39" s="2"/>
      <c r="CI39" s="2"/>
      <c r="CJ39" s="2"/>
      <c r="CK39" s="2"/>
      <c r="CL39" s="2"/>
      <c r="CM39" s="2">
        <v>0</v>
      </c>
      <c r="CN39" s="2" t="s">
        <v>6</v>
      </c>
      <c r="CO39" s="2">
        <v>0</v>
      </c>
      <c r="CP39" s="2">
        <f t="shared" si="64"/>
        <v>3967</v>
      </c>
      <c r="CQ39" s="2">
        <f t="shared" si="65"/>
        <v>0</v>
      </c>
      <c r="CR39" s="2">
        <f t="shared" si="66"/>
        <v>7.52</v>
      </c>
      <c r="CS39" s="2">
        <f t="shared" si="67"/>
        <v>0.26</v>
      </c>
      <c r="CT39" s="2">
        <f t="shared" si="68"/>
        <v>127.01</v>
      </c>
      <c r="CU39" s="2">
        <f t="shared" si="69"/>
        <v>0</v>
      </c>
      <c r="CV39" s="2">
        <f t="shared" si="70"/>
        <v>13.08</v>
      </c>
      <c r="CW39" s="2">
        <f t="shared" si="71"/>
        <v>0.02</v>
      </c>
      <c r="CX39" s="2">
        <f t="shared" si="72"/>
        <v>0</v>
      </c>
      <c r="CY39" s="2">
        <f>(((S39+R39)*AT39)/100)</f>
        <v>3940.65</v>
      </c>
      <c r="CZ39" s="2">
        <f>(((S39+R39)*AU39)/100)</f>
        <v>2064.15</v>
      </c>
      <c r="DA39" s="2"/>
      <c r="DB39" s="2"/>
      <c r="DC39" s="2" t="s">
        <v>6</v>
      </c>
      <c r="DD39" s="2" t="s">
        <v>6</v>
      </c>
      <c r="DE39" s="2" t="s">
        <v>6</v>
      </c>
      <c r="DF39" s="2" t="s">
        <v>6</v>
      </c>
      <c r="DG39" s="2" t="s">
        <v>6</v>
      </c>
      <c r="DH39" s="2" t="s">
        <v>6</v>
      </c>
      <c r="DI39" s="2" t="s">
        <v>6</v>
      </c>
      <c r="DJ39" s="2" t="s">
        <v>6</v>
      </c>
      <c r="DK39" s="2" t="s">
        <v>6</v>
      </c>
      <c r="DL39" s="2" t="s">
        <v>6</v>
      </c>
      <c r="DM39" s="2" t="s">
        <v>6</v>
      </c>
      <c r="DN39" s="2">
        <v>0</v>
      </c>
      <c r="DO39" s="2">
        <v>0</v>
      </c>
      <c r="DP39" s="2">
        <v>1</v>
      </c>
      <c r="DQ39" s="2">
        <v>1</v>
      </c>
      <c r="DR39" s="2"/>
      <c r="DS39" s="2"/>
      <c r="DT39" s="2"/>
      <c r="DU39" s="2">
        <v>1005</v>
      </c>
      <c r="DV39" s="2" t="s">
        <v>50</v>
      </c>
      <c r="DW39" s="2" t="s">
        <v>50</v>
      </c>
      <c r="DX39" s="2">
        <v>100</v>
      </c>
      <c r="DY39" s="2"/>
      <c r="DZ39" s="2" t="s">
        <v>6</v>
      </c>
      <c r="EA39" s="2" t="s">
        <v>6</v>
      </c>
      <c r="EB39" s="2" t="s">
        <v>6</v>
      </c>
      <c r="EC39" s="2" t="s">
        <v>6</v>
      </c>
      <c r="ED39" s="2"/>
      <c r="EE39" s="2">
        <v>54328923</v>
      </c>
      <c r="EF39" s="2">
        <v>2</v>
      </c>
      <c r="EG39" s="2" t="s">
        <v>25</v>
      </c>
      <c r="EH39" s="2">
        <v>0</v>
      </c>
      <c r="EI39" s="2" t="s">
        <v>6</v>
      </c>
      <c r="EJ39" s="2">
        <v>1</v>
      </c>
      <c r="EK39" s="2">
        <v>24</v>
      </c>
      <c r="EL39" s="2" t="s">
        <v>26</v>
      </c>
      <c r="EM39" s="2" t="s">
        <v>52</v>
      </c>
      <c r="EN39" s="2"/>
      <c r="EO39" s="2" t="s">
        <v>6</v>
      </c>
      <c r="EP39" s="2"/>
      <c r="EQ39" s="2">
        <v>131072</v>
      </c>
      <c r="ER39" s="2">
        <v>364.82</v>
      </c>
      <c r="ES39" s="2">
        <v>230.29</v>
      </c>
      <c r="ET39" s="2">
        <v>7.52</v>
      </c>
      <c r="EU39" s="2">
        <v>0.26</v>
      </c>
      <c r="EV39" s="2">
        <v>127.01</v>
      </c>
      <c r="EW39" s="2">
        <v>13.08</v>
      </c>
      <c r="EX39" s="2">
        <v>0.02</v>
      </c>
      <c r="EY39" s="2">
        <v>1</v>
      </c>
      <c r="EZ39" s="2"/>
      <c r="FA39" s="2"/>
      <c r="FB39" s="2"/>
      <c r="FC39" s="2"/>
      <c r="FD39" s="2"/>
      <c r="FE39" s="2"/>
      <c r="FF39" s="2"/>
      <c r="FG39" s="2"/>
      <c r="FH39" s="2"/>
      <c r="FI39" s="2"/>
      <c r="FJ39" s="2"/>
      <c r="FK39" s="2"/>
      <c r="FL39" s="2"/>
      <c r="FM39" s="2"/>
      <c r="FN39" s="2"/>
      <c r="FO39" s="2"/>
      <c r="FP39" s="2"/>
      <c r="FQ39" s="2">
        <v>0</v>
      </c>
      <c r="FR39" s="2">
        <f t="shared" si="73"/>
        <v>0</v>
      </c>
      <c r="FS39" s="2">
        <v>0</v>
      </c>
      <c r="FT39" s="2"/>
      <c r="FU39" s="2"/>
      <c r="FV39" s="2"/>
      <c r="FW39" s="2"/>
      <c r="FX39" s="2">
        <v>105</v>
      </c>
      <c r="FY39" s="2">
        <v>55</v>
      </c>
      <c r="FZ39" s="2"/>
      <c r="GA39" s="2" t="s">
        <v>6</v>
      </c>
      <c r="GB39" s="2"/>
      <c r="GC39" s="2"/>
      <c r="GD39" s="2">
        <v>1</v>
      </c>
      <c r="GE39" s="2"/>
      <c r="GF39" s="2">
        <v>-2145601070</v>
      </c>
      <c r="GG39" s="2">
        <v>2</v>
      </c>
      <c r="GH39" s="2">
        <v>1</v>
      </c>
      <c r="GI39" s="2">
        <v>-2</v>
      </c>
      <c r="GJ39" s="2">
        <v>0</v>
      </c>
      <c r="GK39" s="2">
        <v>0</v>
      </c>
      <c r="GL39" s="2">
        <f t="shared" si="74"/>
        <v>0</v>
      </c>
      <c r="GM39" s="2">
        <f t="shared" si="75"/>
        <v>9972</v>
      </c>
      <c r="GN39" s="2">
        <f t="shared" si="76"/>
        <v>9972</v>
      </c>
      <c r="GO39" s="2">
        <f t="shared" si="77"/>
        <v>0</v>
      </c>
      <c r="GP39" s="2">
        <f t="shared" si="78"/>
        <v>0</v>
      </c>
      <c r="GQ39" s="2"/>
      <c r="GR39" s="2">
        <v>0</v>
      </c>
      <c r="GS39" s="2">
        <v>3</v>
      </c>
      <c r="GT39" s="2">
        <v>0</v>
      </c>
      <c r="GU39" s="2" t="s">
        <v>6</v>
      </c>
      <c r="GV39" s="2">
        <f t="shared" si="79"/>
        <v>0</v>
      </c>
      <c r="GW39" s="2">
        <v>1</v>
      </c>
      <c r="GX39" s="2">
        <f t="shared" si="80"/>
        <v>0</v>
      </c>
      <c r="GY39" s="2"/>
      <c r="GZ39" s="2"/>
      <c r="HA39" s="2">
        <v>0</v>
      </c>
      <c r="HB39" s="2">
        <v>0</v>
      </c>
      <c r="HC39" s="2">
        <f t="shared" si="81"/>
        <v>0</v>
      </c>
      <c r="HD39" s="2"/>
      <c r="HE39" s="2" t="s">
        <v>6</v>
      </c>
      <c r="HF39" s="2" t="s">
        <v>6</v>
      </c>
      <c r="HG39" s="2"/>
      <c r="HH39" s="2"/>
      <c r="HI39" s="2"/>
      <c r="HJ39" s="2"/>
      <c r="HK39" s="2"/>
      <c r="HL39" s="2"/>
      <c r="HM39" s="2" t="s">
        <v>6</v>
      </c>
      <c r="HN39" s="2" t="s">
        <v>6</v>
      </c>
      <c r="HO39" s="2" t="s">
        <v>6</v>
      </c>
      <c r="HP39" s="2" t="s">
        <v>6</v>
      </c>
      <c r="HQ39" s="2" t="s">
        <v>6</v>
      </c>
      <c r="HR39" s="2"/>
      <c r="HS39" s="2"/>
      <c r="HT39" s="2"/>
      <c r="HU39" s="2"/>
      <c r="HV39" s="2"/>
      <c r="HW39" s="2"/>
      <c r="HX39" s="2"/>
      <c r="HY39" s="2"/>
      <c r="HZ39" s="2"/>
      <c r="IA39" s="2"/>
      <c r="IB39" s="2"/>
      <c r="IC39" s="2"/>
      <c r="ID39" s="2"/>
      <c r="IE39" s="2"/>
      <c r="IF39" s="2">
        <v>-1</v>
      </c>
      <c r="IG39" s="2"/>
      <c r="IH39" s="2"/>
      <c r="II39" s="2"/>
      <c r="IJ39" s="2"/>
      <c r="IK39" s="2">
        <v>0</v>
      </c>
      <c r="IL39" s="2"/>
      <c r="IM39" s="2"/>
      <c r="IN39" s="2"/>
      <c r="IO39" s="2"/>
      <c r="IP39" s="2"/>
      <c r="IQ39" s="2"/>
      <c r="IR39" s="2"/>
      <c r="IS39" s="2"/>
      <c r="IT39" s="2"/>
      <c r="IU39" s="2"/>
    </row>
    <row r="40" spans="1:255" x14ac:dyDescent="0.2">
      <c r="A40">
        <v>17</v>
      </c>
      <c r="B40">
        <v>1</v>
      </c>
      <c r="C40">
        <f>ROW(SmtRes!A42)</f>
        <v>42</v>
      </c>
      <c r="D40">
        <f>ROW(EtalonRes!A42)</f>
        <v>42</v>
      </c>
      <c r="E40" t="s">
        <v>56</v>
      </c>
      <c r="F40" t="s">
        <v>57</v>
      </c>
      <c r="G40" t="s">
        <v>58</v>
      </c>
      <c r="H40" t="s">
        <v>50</v>
      </c>
      <c r="I40">
        <f>'2.Лок.смета.и.Акт'!E31</f>
        <v>29.483000000000001</v>
      </c>
      <c r="J40">
        <v>0</v>
      </c>
      <c r="K40">
        <v>29.483000000000001</v>
      </c>
      <c r="O40">
        <f t="shared" si="45"/>
        <v>132395</v>
      </c>
      <c r="P40">
        <f t="shared" si="46"/>
        <v>0</v>
      </c>
      <c r="Q40">
        <f t="shared" si="47"/>
        <v>2831</v>
      </c>
      <c r="R40">
        <f t="shared" si="48"/>
        <v>231</v>
      </c>
      <c r="S40">
        <f t="shared" si="49"/>
        <v>129564</v>
      </c>
      <c r="T40">
        <f t="shared" si="50"/>
        <v>0</v>
      </c>
      <c r="U40" t="e">
        <f t="shared" si="51"/>
        <v>#REF!</v>
      </c>
      <c r="V40">
        <f t="shared" si="52"/>
        <v>0.58966000000000007</v>
      </c>
      <c r="W40">
        <f t="shared" si="53"/>
        <v>0</v>
      </c>
      <c r="X40" t="e">
        <f t="shared" si="54"/>
        <v>#REF!</v>
      </c>
      <c r="Y40" t="e">
        <f t="shared" si="55"/>
        <v>#REF!</v>
      </c>
      <c r="AA40">
        <v>74242617</v>
      </c>
      <c r="AB40">
        <f t="shared" si="56"/>
        <v>134.53</v>
      </c>
      <c r="AC40">
        <f>ROUND((ES40+(SUM(SmtRes!BC34:'SmtRes'!BC42)+SUM(EtalonRes!AL34:'EtalonRes'!AL42))),2)</f>
        <v>0</v>
      </c>
      <c r="AD40">
        <f t="shared" si="57"/>
        <v>7.52</v>
      </c>
      <c r="AE40">
        <f t="shared" si="58"/>
        <v>0.26</v>
      </c>
      <c r="AF40">
        <f t="shared" si="59"/>
        <v>127.01</v>
      </c>
      <c r="AG40">
        <f t="shared" si="60"/>
        <v>0</v>
      </c>
      <c r="AH40" t="e">
        <f t="shared" si="61"/>
        <v>#REF!</v>
      </c>
      <c r="AI40">
        <f t="shared" si="62"/>
        <v>0.02</v>
      </c>
      <c r="AJ40">
        <f t="shared" si="63"/>
        <v>0</v>
      </c>
      <c r="AK40">
        <f>AL40+AM40+AO40</f>
        <v>364.82</v>
      </c>
      <c r="AL40">
        <v>230.29</v>
      </c>
      <c r="AM40" s="76">
        <f>'1.Лок.смета.и.Акт'!F85</f>
        <v>7.52</v>
      </c>
      <c r="AN40" s="76">
        <f>'1.Лок.смета.и.Акт'!F86</f>
        <v>0.26</v>
      </c>
      <c r="AO40" s="76">
        <f>'1.Лок.смета.и.Акт'!F84</f>
        <v>127.01</v>
      </c>
      <c r="AP40">
        <v>0</v>
      </c>
      <c r="AQ40" t="e">
        <f>'2.Лок.смета.и.Акт'!#REF!</f>
        <v>#REF!</v>
      </c>
      <c r="AR40">
        <v>0.02</v>
      </c>
      <c r="AS40">
        <v>0</v>
      </c>
      <c r="AT40">
        <v>105</v>
      </c>
      <c r="AU40">
        <v>55</v>
      </c>
      <c r="AV40">
        <v>1</v>
      </c>
      <c r="AW40">
        <v>1</v>
      </c>
      <c r="AZ40">
        <v>1</v>
      </c>
      <c r="BA40">
        <f>'1.Лок.смета.и.Акт'!J84</f>
        <v>34.6</v>
      </c>
      <c r="BB40">
        <f>'1.Лок.смета.и.Акт'!J85</f>
        <v>12.77</v>
      </c>
      <c r="BC40">
        <v>7.56</v>
      </c>
      <c r="BD40" t="s">
        <v>6</v>
      </c>
      <c r="BE40" t="s">
        <v>6</v>
      </c>
      <c r="BF40" t="s">
        <v>6</v>
      </c>
      <c r="BG40" t="s">
        <v>6</v>
      </c>
      <c r="BH40">
        <v>0</v>
      </c>
      <c r="BI40">
        <v>1</v>
      </c>
      <c r="BJ40" t="s">
        <v>59</v>
      </c>
      <c r="BM40">
        <v>24</v>
      </c>
      <c r="BN40">
        <v>0</v>
      </c>
      <c r="BO40" t="s">
        <v>57</v>
      </c>
      <c r="BP40">
        <v>1</v>
      </c>
      <c r="BQ40">
        <v>2</v>
      </c>
      <c r="BR40">
        <v>0</v>
      </c>
      <c r="BS40">
        <f>'1.Лок.смета.и.Акт'!J86</f>
        <v>30.1</v>
      </c>
      <c r="BT40">
        <v>1</v>
      </c>
      <c r="BU40">
        <v>1</v>
      </c>
      <c r="BV40">
        <v>1</v>
      </c>
      <c r="BW40">
        <v>1</v>
      </c>
      <c r="BX40">
        <v>1</v>
      </c>
      <c r="BY40" t="s">
        <v>6</v>
      </c>
      <c r="BZ40" t="e">
        <f>'2.Лок.смета.и.Акт'!#REF!</f>
        <v>#REF!</v>
      </c>
      <c r="CA40" t="e">
        <f>'2.Лок.смета.и.Акт'!#REF!</f>
        <v>#REF!</v>
      </c>
      <c r="CB40" t="s">
        <v>6</v>
      </c>
      <c r="CE40">
        <v>0</v>
      </c>
      <c r="CF40">
        <v>0</v>
      </c>
      <c r="CG40">
        <v>0</v>
      </c>
      <c r="CM40">
        <v>0</v>
      </c>
      <c r="CN40" t="s">
        <v>6</v>
      </c>
      <c r="CO40">
        <v>0</v>
      </c>
      <c r="CP40">
        <f t="shared" si="64"/>
        <v>132395</v>
      </c>
      <c r="CQ40">
        <f t="shared" si="65"/>
        <v>0</v>
      </c>
      <c r="CR40">
        <f t="shared" si="66"/>
        <v>96.030399999999986</v>
      </c>
      <c r="CS40">
        <f t="shared" si="67"/>
        <v>7.8260000000000005</v>
      </c>
      <c r="CT40">
        <f t="shared" si="68"/>
        <v>4394.5460000000003</v>
      </c>
      <c r="CU40">
        <f t="shared" si="69"/>
        <v>0</v>
      </c>
      <c r="CV40" t="e">
        <f t="shared" si="70"/>
        <v>#REF!</v>
      </c>
      <c r="CW40">
        <f t="shared" si="71"/>
        <v>0.02</v>
      </c>
      <c r="CX40">
        <f t="shared" si="72"/>
        <v>0</v>
      </c>
      <c r="CY40" t="e">
        <f>(S40+R40)*(BZ40/100)</f>
        <v>#REF!</v>
      </c>
      <c r="CZ40" t="e">
        <f>(S40+R40)*(CA40/100)</f>
        <v>#REF!</v>
      </c>
      <c r="DC40" t="s">
        <v>6</v>
      </c>
      <c r="DD40" t="s">
        <v>6</v>
      </c>
      <c r="DE40" t="s">
        <v>6</v>
      </c>
      <c r="DF40" t="s">
        <v>6</v>
      </c>
      <c r="DG40" t="s">
        <v>6</v>
      </c>
      <c r="DH40" t="s">
        <v>6</v>
      </c>
      <c r="DI40" t="s">
        <v>6</v>
      </c>
      <c r="DJ40" t="s">
        <v>6</v>
      </c>
      <c r="DK40" t="s">
        <v>6</v>
      </c>
      <c r="DL40" t="s">
        <v>6</v>
      </c>
      <c r="DM40" t="s">
        <v>6</v>
      </c>
      <c r="DN40">
        <f>'1.Лок.смета.и.Акт'!E87</f>
        <v>105</v>
      </c>
      <c r="DO40">
        <f>'1.Лок.смета.и.Акт'!E88</f>
        <v>55</v>
      </c>
      <c r="DP40">
        <v>1</v>
      </c>
      <c r="DQ40">
        <v>1</v>
      </c>
      <c r="DU40">
        <v>1005</v>
      </c>
      <c r="DV40" t="s">
        <v>50</v>
      </c>
      <c r="DW40" t="str">
        <f>'2.Лок.смета.и.Акт'!D31</f>
        <v>100 м2</v>
      </c>
      <c r="DX40">
        <v>100</v>
      </c>
      <c r="DZ40" t="s">
        <v>6</v>
      </c>
      <c r="EA40" t="s">
        <v>6</v>
      </c>
      <c r="EB40" t="s">
        <v>6</v>
      </c>
      <c r="EC40" t="s">
        <v>6</v>
      </c>
      <c r="EE40">
        <v>54328923</v>
      </c>
      <c r="EF40">
        <v>2</v>
      </c>
      <c r="EG40" t="s">
        <v>25</v>
      </c>
      <c r="EH40">
        <v>0</v>
      </c>
      <c r="EI40" t="s">
        <v>6</v>
      </c>
      <c r="EJ40">
        <v>1</v>
      </c>
      <c r="EK40">
        <v>24</v>
      </c>
      <c r="EL40" t="s">
        <v>26</v>
      </c>
      <c r="EM40" t="s">
        <v>52</v>
      </c>
      <c r="EO40" t="s">
        <v>6</v>
      </c>
      <c r="EQ40">
        <v>131072</v>
      </c>
      <c r="ER40">
        <f>ES40+ET40+EV40</f>
        <v>364.82</v>
      </c>
      <c r="ES40">
        <v>230.29</v>
      </c>
      <c r="ET40" s="76">
        <f>'1.Лок.смета.и.Акт'!F85</f>
        <v>7.52</v>
      </c>
      <c r="EU40" s="76">
        <f>'1.Лок.смета.и.Акт'!F86</f>
        <v>0.26</v>
      </c>
      <c r="EV40" s="76">
        <f>'1.Лок.смета.и.Акт'!F84</f>
        <v>127.01</v>
      </c>
      <c r="EW40" t="e">
        <f>'2.Лок.смета.и.Акт'!#REF!</f>
        <v>#REF!</v>
      </c>
      <c r="EX40">
        <v>0.02</v>
      </c>
      <c r="EY40">
        <v>1</v>
      </c>
      <c r="FQ40">
        <v>0</v>
      </c>
      <c r="FR40">
        <f t="shared" si="73"/>
        <v>0</v>
      </c>
      <c r="FS40">
        <v>0</v>
      </c>
      <c r="FX40">
        <v>105</v>
      </c>
      <c r="FY40">
        <v>55</v>
      </c>
      <c r="GA40" t="s">
        <v>6</v>
      </c>
      <c r="GD40">
        <v>1</v>
      </c>
      <c r="GF40">
        <v>-2145601070</v>
      </c>
      <c r="GG40">
        <v>2</v>
      </c>
      <c r="GH40">
        <v>1</v>
      </c>
      <c r="GI40">
        <v>2</v>
      </c>
      <c r="GJ40">
        <v>0</v>
      </c>
      <c r="GK40">
        <v>0</v>
      </c>
      <c r="GL40">
        <f t="shared" si="74"/>
        <v>0</v>
      </c>
      <c r="GM40" t="e">
        <f t="shared" si="75"/>
        <v>#REF!</v>
      </c>
      <c r="GN40" t="e">
        <f t="shared" si="76"/>
        <v>#REF!</v>
      </c>
      <c r="GO40">
        <f t="shared" si="77"/>
        <v>0</v>
      </c>
      <c r="GP40">
        <f t="shared" si="78"/>
        <v>0</v>
      </c>
      <c r="GR40">
        <v>0</v>
      </c>
      <c r="GS40">
        <v>0</v>
      </c>
      <c r="GT40">
        <v>0</v>
      </c>
      <c r="GU40" t="s">
        <v>6</v>
      </c>
      <c r="GV40">
        <f t="shared" si="79"/>
        <v>0</v>
      </c>
      <c r="GW40">
        <v>1009.6</v>
      </c>
      <c r="GX40">
        <f t="shared" si="80"/>
        <v>0</v>
      </c>
      <c r="HA40">
        <v>0</v>
      </c>
      <c r="HB40">
        <v>0</v>
      </c>
      <c r="HC40">
        <f t="shared" si="81"/>
        <v>0</v>
      </c>
      <c r="HE40" t="s">
        <v>6</v>
      </c>
      <c r="HF40" t="s">
        <v>6</v>
      </c>
      <c r="HM40" t="s">
        <v>6</v>
      </c>
      <c r="HN40" t="s">
        <v>6</v>
      </c>
      <c r="HO40" t="s">
        <v>6</v>
      </c>
      <c r="HP40" t="s">
        <v>6</v>
      </c>
      <c r="HQ40" t="s">
        <v>6</v>
      </c>
      <c r="IF40">
        <v>-1</v>
      </c>
      <c r="IK40">
        <v>0</v>
      </c>
    </row>
    <row r="41" spans="1:255" x14ac:dyDescent="0.2">
      <c r="A41" s="2">
        <v>18</v>
      </c>
      <c r="B41" s="2">
        <v>1</v>
      </c>
      <c r="C41" s="2">
        <v>30</v>
      </c>
      <c r="D41" s="2"/>
      <c r="E41" s="2" t="s">
        <v>60</v>
      </c>
      <c r="F41" s="2" t="s">
        <v>61</v>
      </c>
      <c r="G41" s="2" t="s">
        <v>62</v>
      </c>
      <c r="H41" s="2" t="s">
        <v>63</v>
      </c>
      <c r="I41" s="2">
        <f>I39*J41</f>
        <v>0.353796</v>
      </c>
      <c r="J41" s="207">
        <f>'5.Ведомость_списания'!F36</f>
        <v>1.2E-2</v>
      </c>
      <c r="K41" s="2">
        <v>1.2E-2</v>
      </c>
      <c r="L41" s="2"/>
      <c r="M41" s="2"/>
      <c r="N41" s="2"/>
      <c r="O41" s="2">
        <f t="shared" si="45"/>
        <v>20</v>
      </c>
      <c r="P41" s="2">
        <f t="shared" si="46"/>
        <v>20</v>
      </c>
      <c r="Q41" s="2">
        <f t="shared" si="47"/>
        <v>0</v>
      </c>
      <c r="R41" s="2">
        <f t="shared" si="48"/>
        <v>0</v>
      </c>
      <c r="S41" s="2">
        <f t="shared" si="49"/>
        <v>0</v>
      </c>
      <c r="T41" s="2">
        <f t="shared" si="50"/>
        <v>0</v>
      </c>
      <c r="U41" s="2">
        <f t="shared" si="51"/>
        <v>0</v>
      </c>
      <c r="V41" s="2">
        <f t="shared" si="52"/>
        <v>0</v>
      </c>
      <c r="W41" s="2">
        <f t="shared" si="53"/>
        <v>0</v>
      </c>
      <c r="X41" s="2">
        <f t="shared" si="54"/>
        <v>0</v>
      </c>
      <c r="Y41" s="2">
        <f t="shared" si="55"/>
        <v>0</v>
      </c>
      <c r="Z41" s="2"/>
      <c r="AA41" s="2">
        <v>74242616</v>
      </c>
      <c r="AB41" s="2">
        <f t="shared" si="56"/>
        <v>57.14</v>
      </c>
      <c r="AC41" s="2">
        <f t="shared" ref="AC41:AD48" si="82">ROUND((ES41),2)</f>
        <v>57.14</v>
      </c>
      <c r="AD41" s="2">
        <f t="shared" si="82"/>
        <v>0</v>
      </c>
      <c r="AE41" s="2">
        <f t="shared" si="58"/>
        <v>0</v>
      </c>
      <c r="AF41" s="2">
        <f t="shared" si="59"/>
        <v>0</v>
      </c>
      <c r="AG41" s="2">
        <f t="shared" si="60"/>
        <v>0</v>
      </c>
      <c r="AH41" s="2">
        <f t="shared" si="61"/>
        <v>0</v>
      </c>
      <c r="AI41" s="2">
        <f t="shared" si="62"/>
        <v>0</v>
      </c>
      <c r="AJ41" s="2">
        <f t="shared" si="63"/>
        <v>0</v>
      </c>
      <c r="AK41" s="2">
        <v>57.14</v>
      </c>
      <c r="AL41" s="111">
        <f>'1.Лок.смета.и.Акт'!F90</f>
        <v>57.14</v>
      </c>
      <c r="AM41" s="2">
        <v>0</v>
      </c>
      <c r="AN41" s="2">
        <v>0</v>
      </c>
      <c r="AO41" s="2">
        <v>0</v>
      </c>
      <c r="AP41" s="2">
        <v>0</v>
      </c>
      <c r="AQ41" s="2">
        <v>0</v>
      </c>
      <c r="AR41" s="2">
        <v>0</v>
      </c>
      <c r="AS41" s="2">
        <v>0</v>
      </c>
      <c r="AT41" s="2">
        <v>0</v>
      </c>
      <c r="AU41" s="2">
        <v>0</v>
      </c>
      <c r="AV41" s="2">
        <v>1</v>
      </c>
      <c r="AW41" s="2">
        <v>1</v>
      </c>
      <c r="AX41" s="2"/>
      <c r="AY41" s="2"/>
      <c r="AZ41" s="2">
        <v>1</v>
      </c>
      <c r="BA41" s="2">
        <v>1</v>
      </c>
      <c r="BB41" s="2">
        <v>1</v>
      </c>
      <c r="BC41" s="2">
        <v>1</v>
      </c>
      <c r="BD41" s="2" t="s">
        <v>6</v>
      </c>
      <c r="BE41" s="2" t="s">
        <v>6</v>
      </c>
      <c r="BF41" s="2" t="s">
        <v>6</v>
      </c>
      <c r="BG41" s="2" t="s">
        <v>6</v>
      </c>
      <c r="BH41" s="2">
        <v>3</v>
      </c>
      <c r="BI41" s="2">
        <v>0</v>
      </c>
      <c r="BJ41" s="2" t="s">
        <v>64</v>
      </c>
      <c r="BK41" s="2"/>
      <c r="BL41" s="2"/>
      <c r="BM41" s="2">
        <v>3101</v>
      </c>
      <c r="BN41" s="2">
        <v>0</v>
      </c>
      <c r="BO41" s="2" t="s">
        <v>6</v>
      </c>
      <c r="BP41" s="2">
        <v>0</v>
      </c>
      <c r="BQ41" s="2">
        <v>0</v>
      </c>
      <c r="BR41" s="2">
        <v>0</v>
      </c>
      <c r="BS41" s="2">
        <v>1</v>
      </c>
      <c r="BT41" s="2">
        <v>1</v>
      </c>
      <c r="BU41" s="2">
        <v>1</v>
      </c>
      <c r="BV41" s="2">
        <v>1</v>
      </c>
      <c r="BW41" s="2">
        <v>1</v>
      </c>
      <c r="BX41" s="2">
        <v>1</v>
      </c>
      <c r="BY41" s="2" t="s">
        <v>6</v>
      </c>
      <c r="BZ41" s="2">
        <v>0</v>
      </c>
      <c r="CA41" s="2">
        <v>0</v>
      </c>
      <c r="CB41" s="2" t="s">
        <v>6</v>
      </c>
      <c r="CC41" s="2"/>
      <c r="CD41" s="2"/>
      <c r="CE41" s="2">
        <v>0</v>
      </c>
      <c r="CF41" s="2">
        <v>0</v>
      </c>
      <c r="CG41" s="2">
        <v>0</v>
      </c>
      <c r="CH41" s="2"/>
      <c r="CI41" s="2"/>
      <c r="CJ41" s="2"/>
      <c r="CK41" s="2"/>
      <c r="CL41" s="2"/>
      <c r="CM41" s="2">
        <v>0</v>
      </c>
      <c r="CN41" s="2" t="s">
        <v>6</v>
      </c>
      <c r="CO41" s="2">
        <v>0</v>
      </c>
      <c r="CP41" s="2">
        <f t="shared" si="64"/>
        <v>20</v>
      </c>
      <c r="CQ41" s="2">
        <f t="shared" si="65"/>
        <v>57.14</v>
      </c>
      <c r="CR41" s="2">
        <f t="shared" si="66"/>
        <v>0</v>
      </c>
      <c r="CS41" s="2">
        <f t="shared" si="67"/>
        <v>0</v>
      </c>
      <c r="CT41" s="2">
        <f t="shared" si="68"/>
        <v>0</v>
      </c>
      <c r="CU41" s="2">
        <f t="shared" si="69"/>
        <v>0</v>
      </c>
      <c r="CV41" s="2">
        <f t="shared" si="70"/>
        <v>0</v>
      </c>
      <c r="CW41" s="2">
        <f t="shared" si="71"/>
        <v>0</v>
      </c>
      <c r="CX41" s="2">
        <f t="shared" si="72"/>
        <v>0</v>
      </c>
      <c r="CY41" s="2">
        <f>0</f>
        <v>0</v>
      </c>
      <c r="CZ41" s="2">
        <f>0</f>
        <v>0</v>
      </c>
      <c r="DA41" s="2"/>
      <c r="DB41" s="2"/>
      <c r="DC41" s="2" t="s">
        <v>6</v>
      </c>
      <c r="DD41" s="2" t="s">
        <v>6</v>
      </c>
      <c r="DE41" s="2" t="s">
        <v>6</v>
      </c>
      <c r="DF41" s="2" t="s">
        <v>6</v>
      </c>
      <c r="DG41" s="2" t="s">
        <v>6</v>
      </c>
      <c r="DH41" s="2" t="s">
        <v>6</v>
      </c>
      <c r="DI41" s="2" t="s">
        <v>6</v>
      </c>
      <c r="DJ41" s="2" t="s">
        <v>6</v>
      </c>
      <c r="DK41" s="2" t="s">
        <v>6</v>
      </c>
      <c r="DL41" s="2" t="s">
        <v>6</v>
      </c>
      <c r="DM41" s="2" t="s">
        <v>6</v>
      </c>
      <c r="DN41" s="2">
        <v>0</v>
      </c>
      <c r="DO41" s="2">
        <v>0</v>
      </c>
      <c r="DP41" s="2">
        <v>1</v>
      </c>
      <c r="DQ41" s="2">
        <v>1</v>
      </c>
      <c r="DR41" s="2"/>
      <c r="DS41" s="2"/>
      <c r="DT41" s="2"/>
      <c r="DU41" s="2">
        <v>1005</v>
      </c>
      <c r="DV41" s="2" t="s">
        <v>63</v>
      </c>
      <c r="DW41" s="2" t="s">
        <v>63</v>
      </c>
      <c r="DX41" s="2">
        <v>1</v>
      </c>
      <c r="DY41" s="2"/>
      <c r="DZ41" s="2" t="s">
        <v>6</v>
      </c>
      <c r="EA41" s="2" t="s">
        <v>6</v>
      </c>
      <c r="EB41" s="2" t="s">
        <v>6</v>
      </c>
      <c r="EC41" s="2" t="s">
        <v>6</v>
      </c>
      <c r="ED41" s="2"/>
      <c r="EE41" s="2">
        <v>0</v>
      </c>
      <c r="EF41" s="2">
        <v>0</v>
      </c>
      <c r="EG41" s="2" t="s">
        <v>6</v>
      </c>
      <c r="EH41" s="2">
        <v>0</v>
      </c>
      <c r="EI41" s="2" t="s">
        <v>6</v>
      </c>
      <c r="EJ41" s="2">
        <v>0</v>
      </c>
      <c r="EK41" s="2">
        <v>3101</v>
      </c>
      <c r="EL41" s="2" t="s">
        <v>6</v>
      </c>
      <c r="EM41" s="2" t="s">
        <v>6</v>
      </c>
      <c r="EN41" s="2"/>
      <c r="EO41" s="2" t="s">
        <v>6</v>
      </c>
      <c r="EP41" s="2"/>
      <c r="EQ41" s="2">
        <v>0</v>
      </c>
      <c r="ER41" s="2">
        <v>57.14</v>
      </c>
      <c r="ES41" s="111">
        <f>'1.Лок.смета.и.Акт'!F90</f>
        <v>57.14</v>
      </c>
      <c r="ET41" s="2">
        <v>0</v>
      </c>
      <c r="EU41" s="2">
        <v>0</v>
      </c>
      <c r="EV41" s="2">
        <v>0</v>
      </c>
      <c r="EW41" s="2">
        <v>0</v>
      </c>
      <c r="EX41" s="2">
        <v>0</v>
      </c>
      <c r="EY41" s="2"/>
      <c r="EZ41" s="2"/>
      <c r="FA41" s="2"/>
      <c r="FB41" s="2"/>
      <c r="FC41" s="2"/>
      <c r="FD41" s="2"/>
      <c r="FE41" s="2"/>
      <c r="FF41" s="2"/>
      <c r="FG41" s="2"/>
      <c r="FH41" s="2"/>
      <c r="FI41" s="2"/>
      <c r="FJ41" s="2"/>
      <c r="FK41" s="2"/>
      <c r="FL41" s="2"/>
      <c r="FM41" s="2"/>
      <c r="FN41" s="2"/>
      <c r="FO41" s="2"/>
      <c r="FP41" s="2"/>
      <c r="FQ41" s="2">
        <v>0</v>
      </c>
      <c r="FR41" s="2">
        <f t="shared" si="73"/>
        <v>0</v>
      </c>
      <c r="FS41" s="2">
        <v>0</v>
      </c>
      <c r="FT41" s="2"/>
      <c r="FU41" s="2"/>
      <c r="FV41" s="2"/>
      <c r="FW41" s="2"/>
      <c r="FX41" s="2">
        <v>0</v>
      </c>
      <c r="FY41" s="2">
        <v>0</v>
      </c>
      <c r="FZ41" s="2"/>
      <c r="GA41" s="2" t="s">
        <v>6</v>
      </c>
      <c r="GB41" s="2"/>
      <c r="GC41" s="2"/>
      <c r="GD41" s="2">
        <v>1</v>
      </c>
      <c r="GE41" s="2"/>
      <c r="GF41" s="2">
        <v>-1540695423</v>
      </c>
      <c r="GG41" s="2">
        <v>2</v>
      </c>
      <c r="GH41" s="2">
        <v>1</v>
      </c>
      <c r="GI41" s="2">
        <v>-2</v>
      </c>
      <c r="GJ41" s="2">
        <v>0</v>
      </c>
      <c r="GK41" s="2">
        <v>0</v>
      </c>
      <c r="GL41" s="2">
        <f t="shared" si="74"/>
        <v>0</v>
      </c>
      <c r="GM41" s="2">
        <f t="shared" si="75"/>
        <v>20</v>
      </c>
      <c r="GN41" s="2">
        <f t="shared" si="76"/>
        <v>20</v>
      </c>
      <c r="GO41" s="2">
        <f t="shared" si="77"/>
        <v>0</v>
      </c>
      <c r="GP41" s="2">
        <f t="shared" si="78"/>
        <v>0</v>
      </c>
      <c r="GQ41" s="2"/>
      <c r="GR41" s="2">
        <v>0</v>
      </c>
      <c r="GS41" s="2">
        <v>3</v>
      </c>
      <c r="GT41" s="2">
        <v>0</v>
      </c>
      <c r="GU41" s="2" t="s">
        <v>6</v>
      </c>
      <c r="GV41" s="2">
        <f t="shared" si="79"/>
        <v>0</v>
      </c>
      <c r="GW41" s="2">
        <v>1</v>
      </c>
      <c r="GX41" s="2">
        <f t="shared" si="80"/>
        <v>0</v>
      </c>
      <c r="GY41" s="2"/>
      <c r="GZ41" s="2"/>
      <c r="HA41" s="2">
        <v>0</v>
      </c>
      <c r="HB41" s="2">
        <v>0</v>
      </c>
      <c r="HC41" s="2">
        <f t="shared" si="81"/>
        <v>0</v>
      </c>
      <c r="HD41" s="2"/>
      <c r="HE41" s="2" t="s">
        <v>6</v>
      </c>
      <c r="HF41" s="2" t="s">
        <v>6</v>
      </c>
      <c r="HG41" s="2"/>
      <c r="HH41" s="2"/>
      <c r="HI41" s="2"/>
      <c r="HJ41" s="2"/>
      <c r="HK41" s="2"/>
      <c r="HL41" s="2"/>
      <c r="HM41" s="2" t="s">
        <v>6</v>
      </c>
      <c r="HN41" s="2" t="s">
        <v>6</v>
      </c>
      <c r="HO41" s="2" t="s">
        <v>6</v>
      </c>
      <c r="HP41" s="2" t="s">
        <v>6</v>
      </c>
      <c r="HQ41" s="2" t="s">
        <v>6</v>
      </c>
      <c r="HR41" s="2"/>
      <c r="HS41" s="2"/>
      <c r="HT41" s="2"/>
      <c r="HU41" s="2"/>
      <c r="HV41" s="2"/>
      <c r="HW41" s="2"/>
      <c r="HX41" s="2"/>
      <c r="HY41" s="2"/>
      <c r="HZ41" s="2"/>
      <c r="IA41" s="2"/>
      <c r="IB41" s="2"/>
      <c r="IC41" s="2"/>
      <c r="ID41" s="2"/>
      <c r="IE41" s="2"/>
      <c r="IF41" s="2">
        <v>-1</v>
      </c>
      <c r="IG41" s="2"/>
      <c r="IH41" s="2"/>
      <c r="II41" s="2"/>
      <c r="IJ41" s="2"/>
      <c r="IK41" s="2">
        <v>0</v>
      </c>
      <c r="IL41" s="2"/>
      <c r="IM41" s="2"/>
      <c r="IN41" s="2"/>
      <c r="IO41" s="2"/>
      <c r="IP41" s="2"/>
      <c r="IQ41" s="2"/>
      <c r="IR41" s="2"/>
      <c r="IS41" s="2"/>
      <c r="IT41" s="2"/>
      <c r="IU41" s="2"/>
    </row>
    <row r="42" spans="1:255" x14ac:dyDescent="0.2">
      <c r="A42">
        <v>18</v>
      </c>
      <c r="B42">
        <v>1</v>
      </c>
      <c r="C42">
        <v>39</v>
      </c>
      <c r="E42" t="s">
        <v>60</v>
      </c>
      <c r="F42" t="e">
        <f>'2.Лок.смета.и.Акт'!#REF!</f>
        <v>#REF!</v>
      </c>
      <c r="G42" t="s">
        <v>62</v>
      </c>
      <c r="H42" t="s">
        <v>63</v>
      </c>
      <c r="I42">
        <f>I40*J42</f>
        <v>0.353796</v>
      </c>
      <c r="J42">
        <v>1.2E-2</v>
      </c>
      <c r="K42">
        <v>1.2E-2</v>
      </c>
      <c r="O42">
        <f t="shared" si="45"/>
        <v>93</v>
      </c>
      <c r="P42">
        <f t="shared" si="46"/>
        <v>93</v>
      </c>
      <c r="Q42">
        <f t="shared" si="47"/>
        <v>0</v>
      </c>
      <c r="R42">
        <f t="shared" si="48"/>
        <v>0</v>
      </c>
      <c r="S42">
        <f t="shared" si="49"/>
        <v>0</v>
      </c>
      <c r="T42">
        <f t="shared" si="50"/>
        <v>0</v>
      </c>
      <c r="U42">
        <f t="shared" si="51"/>
        <v>0</v>
      </c>
      <c r="V42">
        <f t="shared" si="52"/>
        <v>0</v>
      </c>
      <c r="W42">
        <f t="shared" si="53"/>
        <v>0</v>
      </c>
      <c r="X42">
        <f t="shared" si="54"/>
        <v>0</v>
      </c>
      <c r="Y42">
        <f t="shared" si="55"/>
        <v>0</v>
      </c>
      <c r="AA42">
        <v>74242617</v>
      </c>
      <c r="AB42">
        <f t="shared" si="56"/>
        <v>34.72</v>
      </c>
      <c r="AC42">
        <f t="shared" si="82"/>
        <v>34.72</v>
      </c>
      <c r="AD42">
        <f t="shared" si="82"/>
        <v>0</v>
      </c>
      <c r="AE42">
        <f t="shared" si="58"/>
        <v>0</v>
      </c>
      <c r="AF42">
        <f t="shared" si="59"/>
        <v>0</v>
      </c>
      <c r="AG42">
        <f t="shared" si="60"/>
        <v>0</v>
      </c>
      <c r="AH42">
        <f t="shared" si="61"/>
        <v>0</v>
      </c>
      <c r="AI42">
        <f t="shared" si="62"/>
        <v>0</v>
      </c>
      <c r="AJ42">
        <f t="shared" si="63"/>
        <v>0</v>
      </c>
      <c r="AK42">
        <v>34.72</v>
      </c>
      <c r="AL42">
        <v>34.72</v>
      </c>
      <c r="AM42">
        <v>0</v>
      </c>
      <c r="AN42">
        <v>0</v>
      </c>
      <c r="AO42">
        <v>0</v>
      </c>
      <c r="AP42">
        <v>0</v>
      </c>
      <c r="AQ42">
        <v>0</v>
      </c>
      <c r="AR42">
        <v>0</v>
      </c>
      <c r="AS42">
        <v>0</v>
      </c>
      <c r="AT42">
        <v>0</v>
      </c>
      <c r="AU42">
        <v>0</v>
      </c>
      <c r="AV42">
        <v>1</v>
      </c>
      <c r="AW42">
        <v>1</v>
      </c>
      <c r="AZ42">
        <v>1</v>
      </c>
      <c r="BA42">
        <v>1</v>
      </c>
      <c r="BB42">
        <v>1</v>
      </c>
      <c r="BC42">
        <v>7.56</v>
      </c>
      <c r="BD42" t="s">
        <v>6</v>
      </c>
      <c r="BE42" t="s">
        <v>6</v>
      </c>
      <c r="BF42" t="s">
        <v>6</v>
      </c>
      <c r="BG42" t="s">
        <v>6</v>
      </c>
      <c r="BH42">
        <v>3</v>
      </c>
      <c r="BI42">
        <v>0</v>
      </c>
      <c r="BJ42" t="s">
        <v>64</v>
      </c>
      <c r="BM42">
        <v>3101</v>
      </c>
      <c r="BN42">
        <v>0</v>
      </c>
      <c r="BO42" t="s">
        <v>6</v>
      </c>
      <c r="BP42">
        <v>0</v>
      </c>
      <c r="BQ42">
        <v>0</v>
      </c>
      <c r="BR42">
        <v>0</v>
      </c>
      <c r="BS42">
        <v>1</v>
      </c>
      <c r="BT42">
        <v>1</v>
      </c>
      <c r="BU42">
        <v>1</v>
      </c>
      <c r="BV42">
        <v>1</v>
      </c>
      <c r="BW42">
        <v>1</v>
      </c>
      <c r="BX42">
        <v>1</v>
      </c>
      <c r="BY42" t="s">
        <v>6</v>
      </c>
      <c r="BZ42">
        <v>0</v>
      </c>
      <c r="CA42">
        <v>0</v>
      </c>
      <c r="CB42" t="s">
        <v>6</v>
      </c>
      <c r="CE42">
        <v>0</v>
      </c>
      <c r="CF42">
        <v>0</v>
      </c>
      <c r="CG42">
        <v>0</v>
      </c>
      <c r="CM42">
        <v>0</v>
      </c>
      <c r="CN42" t="s">
        <v>6</v>
      </c>
      <c r="CO42">
        <v>0</v>
      </c>
      <c r="CP42">
        <f t="shared" si="64"/>
        <v>93</v>
      </c>
      <c r="CQ42">
        <f t="shared" si="65"/>
        <v>262.48319999999995</v>
      </c>
      <c r="CR42">
        <f t="shared" si="66"/>
        <v>0</v>
      </c>
      <c r="CS42">
        <f t="shared" si="67"/>
        <v>0</v>
      </c>
      <c r="CT42">
        <f t="shared" si="68"/>
        <v>0</v>
      </c>
      <c r="CU42">
        <f t="shared" si="69"/>
        <v>0</v>
      </c>
      <c r="CV42">
        <f t="shared" si="70"/>
        <v>0</v>
      </c>
      <c r="CW42">
        <f t="shared" si="71"/>
        <v>0</v>
      </c>
      <c r="CX42">
        <f t="shared" si="72"/>
        <v>0</v>
      </c>
      <c r="CY42">
        <f>(S42+R42)*(BZ42/100)</f>
        <v>0</v>
      </c>
      <c r="CZ42">
        <f>(S42+R42)*(CA42/100)</f>
        <v>0</v>
      </c>
      <c r="DC42" t="s">
        <v>6</v>
      </c>
      <c r="DD42" t="s">
        <v>6</v>
      </c>
      <c r="DE42" t="s">
        <v>6</v>
      </c>
      <c r="DF42" t="s">
        <v>6</v>
      </c>
      <c r="DG42" t="s">
        <v>6</v>
      </c>
      <c r="DH42" t="s">
        <v>6</v>
      </c>
      <c r="DI42" t="s">
        <v>6</v>
      </c>
      <c r="DJ42" t="s">
        <v>6</v>
      </c>
      <c r="DK42" t="s">
        <v>6</v>
      </c>
      <c r="DL42" t="s">
        <v>6</v>
      </c>
      <c r="DM42" t="s">
        <v>6</v>
      </c>
      <c r="DN42">
        <v>0</v>
      </c>
      <c r="DO42">
        <v>0</v>
      </c>
      <c r="DP42">
        <v>1</v>
      </c>
      <c r="DQ42">
        <v>1</v>
      </c>
      <c r="DU42">
        <v>1005</v>
      </c>
      <c r="DV42" t="s">
        <v>63</v>
      </c>
      <c r="DW42" t="e">
        <f>'2.Лок.смета.и.Акт'!#REF!</f>
        <v>#REF!</v>
      </c>
      <c r="DX42">
        <v>1</v>
      </c>
      <c r="DZ42" t="s">
        <v>6</v>
      </c>
      <c r="EA42" t="s">
        <v>6</v>
      </c>
      <c r="EB42" t="s">
        <v>6</v>
      </c>
      <c r="EC42" t="s">
        <v>6</v>
      </c>
      <c r="EE42">
        <v>0</v>
      </c>
      <c r="EF42">
        <v>0</v>
      </c>
      <c r="EG42" t="s">
        <v>6</v>
      </c>
      <c r="EH42">
        <v>0</v>
      </c>
      <c r="EI42" t="s">
        <v>6</v>
      </c>
      <c r="EJ42">
        <v>0</v>
      </c>
      <c r="EK42">
        <v>3101</v>
      </c>
      <c r="EL42" t="s">
        <v>6</v>
      </c>
      <c r="EM42" t="s">
        <v>6</v>
      </c>
      <c r="EO42" t="s">
        <v>6</v>
      </c>
      <c r="EQ42">
        <v>0</v>
      </c>
      <c r="ER42">
        <v>251.1</v>
      </c>
      <c r="ES42">
        <v>34.72</v>
      </c>
      <c r="ET42">
        <v>0</v>
      </c>
      <c r="EU42">
        <v>0</v>
      </c>
      <c r="EV42">
        <v>0</v>
      </c>
      <c r="EW42">
        <v>0</v>
      </c>
      <c r="EX42">
        <v>0</v>
      </c>
      <c r="EZ42">
        <v>5</v>
      </c>
      <c r="FC42">
        <v>0</v>
      </c>
      <c r="FD42">
        <v>18</v>
      </c>
      <c r="FF42">
        <v>251.1</v>
      </c>
      <c r="FQ42">
        <v>0</v>
      </c>
      <c r="FR42">
        <f t="shared" si="73"/>
        <v>0</v>
      </c>
      <c r="FS42">
        <v>0</v>
      </c>
      <c r="FX42">
        <v>0</v>
      </c>
      <c r="FY42">
        <v>0</v>
      </c>
      <c r="GA42" t="s">
        <v>65</v>
      </c>
      <c r="GD42">
        <v>1</v>
      </c>
      <c r="GF42">
        <v>-1540695423</v>
      </c>
      <c r="GG42">
        <v>2</v>
      </c>
      <c r="GH42">
        <v>3</v>
      </c>
      <c r="GI42">
        <v>5</v>
      </c>
      <c r="GJ42">
        <v>0</v>
      </c>
      <c r="GK42">
        <v>0</v>
      </c>
      <c r="GL42">
        <f t="shared" si="74"/>
        <v>0</v>
      </c>
      <c r="GM42">
        <f t="shared" si="75"/>
        <v>93</v>
      </c>
      <c r="GN42">
        <f t="shared" si="76"/>
        <v>93</v>
      </c>
      <c r="GO42">
        <f t="shared" si="77"/>
        <v>0</v>
      </c>
      <c r="GP42">
        <f t="shared" si="78"/>
        <v>0</v>
      </c>
      <c r="GR42">
        <v>1</v>
      </c>
      <c r="GS42">
        <v>1</v>
      </c>
      <c r="GT42">
        <v>0</v>
      </c>
      <c r="GU42" t="s">
        <v>6</v>
      </c>
      <c r="GV42">
        <f t="shared" si="79"/>
        <v>0</v>
      </c>
      <c r="GW42">
        <v>1</v>
      </c>
      <c r="GX42">
        <f t="shared" si="80"/>
        <v>0</v>
      </c>
      <c r="HA42">
        <v>0</v>
      </c>
      <c r="HB42">
        <v>0</v>
      </c>
      <c r="HC42">
        <f t="shared" si="81"/>
        <v>0</v>
      </c>
      <c r="HE42" t="s">
        <v>39</v>
      </c>
      <c r="HF42" t="s">
        <v>40</v>
      </c>
      <c r="HM42" t="s">
        <v>6</v>
      </c>
      <c r="HN42" t="s">
        <v>6</v>
      </c>
      <c r="HO42" t="s">
        <v>6</v>
      </c>
      <c r="HP42" t="s">
        <v>6</v>
      </c>
      <c r="HQ42" t="s">
        <v>6</v>
      </c>
      <c r="IF42">
        <v>-1</v>
      </c>
      <c r="IK42">
        <v>0</v>
      </c>
    </row>
    <row r="43" spans="1:255" x14ac:dyDescent="0.2">
      <c r="A43" s="2">
        <v>18</v>
      </c>
      <c r="B43" s="2">
        <v>1</v>
      </c>
      <c r="C43" s="2">
        <v>31</v>
      </c>
      <c r="D43" s="2"/>
      <c r="E43" s="2" t="s">
        <v>66</v>
      </c>
      <c r="F43" s="2" t="s">
        <v>67</v>
      </c>
      <c r="G43" s="2" t="s">
        <v>68</v>
      </c>
      <c r="H43" s="2" t="s">
        <v>44</v>
      </c>
      <c r="I43" s="2">
        <f>I39*J43</f>
        <v>1.5625990000000001</v>
      </c>
      <c r="J43" s="207">
        <f>'5.Ведомость_списания'!F37</f>
        <v>5.2999999999999999E-2</v>
      </c>
      <c r="K43" s="2">
        <v>5.2999999999999999E-2</v>
      </c>
      <c r="L43" s="2"/>
      <c r="M43" s="2"/>
      <c r="N43" s="2"/>
      <c r="O43" s="2">
        <f t="shared" si="45"/>
        <v>6750</v>
      </c>
      <c r="P43" s="2">
        <f t="shared" si="46"/>
        <v>6750</v>
      </c>
      <c r="Q43" s="2">
        <f t="shared" si="47"/>
        <v>0</v>
      </c>
      <c r="R43" s="2">
        <f t="shared" si="48"/>
        <v>0</v>
      </c>
      <c r="S43" s="2">
        <f t="shared" si="49"/>
        <v>0</v>
      </c>
      <c r="T43" s="2">
        <f t="shared" si="50"/>
        <v>0</v>
      </c>
      <c r="U43" s="2">
        <f t="shared" si="51"/>
        <v>0</v>
      </c>
      <c r="V43" s="2">
        <f t="shared" si="52"/>
        <v>0</v>
      </c>
      <c r="W43" s="2">
        <f t="shared" si="53"/>
        <v>0</v>
      </c>
      <c r="X43" s="2">
        <f t="shared" si="54"/>
        <v>0</v>
      </c>
      <c r="Y43" s="2">
        <f t="shared" si="55"/>
        <v>0</v>
      </c>
      <c r="Z43" s="2"/>
      <c r="AA43" s="2">
        <v>74242616</v>
      </c>
      <c r="AB43" s="2">
        <f t="shared" si="56"/>
        <v>4319.75</v>
      </c>
      <c r="AC43" s="2">
        <f t="shared" si="82"/>
        <v>4319.75</v>
      </c>
      <c r="AD43" s="2">
        <f t="shared" si="82"/>
        <v>0</v>
      </c>
      <c r="AE43" s="2">
        <f t="shared" si="58"/>
        <v>0</v>
      </c>
      <c r="AF43" s="2">
        <f t="shared" si="59"/>
        <v>0</v>
      </c>
      <c r="AG43" s="2">
        <f t="shared" si="60"/>
        <v>0</v>
      </c>
      <c r="AH43" s="2">
        <f t="shared" si="61"/>
        <v>0</v>
      </c>
      <c r="AI43" s="2">
        <f t="shared" si="62"/>
        <v>0</v>
      </c>
      <c r="AJ43" s="2">
        <f t="shared" si="63"/>
        <v>0</v>
      </c>
      <c r="AK43" s="2">
        <v>4319.75</v>
      </c>
      <c r="AL43" s="111">
        <f>'1.Лок.смета.и.Акт'!F92</f>
        <v>4319.75</v>
      </c>
      <c r="AM43" s="2">
        <v>0</v>
      </c>
      <c r="AN43" s="2">
        <v>0</v>
      </c>
      <c r="AO43" s="2">
        <v>0</v>
      </c>
      <c r="AP43" s="2">
        <v>0</v>
      </c>
      <c r="AQ43" s="2">
        <v>0</v>
      </c>
      <c r="AR43" s="2">
        <v>0</v>
      </c>
      <c r="AS43" s="2">
        <v>0</v>
      </c>
      <c r="AT43" s="2">
        <v>0</v>
      </c>
      <c r="AU43" s="2">
        <v>0</v>
      </c>
      <c r="AV43" s="2">
        <v>1</v>
      </c>
      <c r="AW43" s="2">
        <v>1</v>
      </c>
      <c r="AX43" s="2"/>
      <c r="AY43" s="2"/>
      <c r="AZ43" s="2">
        <v>1</v>
      </c>
      <c r="BA43" s="2">
        <v>1</v>
      </c>
      <c r="BB43" s="2">
        <v>1</v>
      </c>
      <c r="BC43" s="2">
        <v>1</v>
      </c>
      <c r="BD43" s="2" t="s">
        <v>6</v>
      </c>
      <c r="BE43" s="2" t="s">
        <v>6</v>
      </c>
      <c r="BF43" s="2" t="s">
        <v>6</v>
      </c>
      <c r="BG43" s="2" t="s">
        <v>6</v>
      </c>
      <c r="BH43" s="2">
        <v>3</v>
      </c>
      <c r="BI43" s="2">
        <v>0</v>
      </c>
      <c r="BJ43" s="2" t="s">
        <v>69</v>
      </c>
      <c r="BK43" s="2"/>
      <c r="BL43" s="2"/>
      <c r="BM43" s="2">
        <v>3101</v>
      </c>
      <c r="BN43" s="2">
        <v>0</v>
      </c>
      <c r="BO43" s="2" t="s">
        <v>6</v>
      </c>
      <c r="BP43" s="2">
        <v>0</v>
      </c>
      <c r="BQ43" s="2">
        <v>0</v>
      </c>
      <c r="BR43" s="2">
        <v>0</v>
      </c>
      <c r="BS43" s="2">
        <v>1</v>
      </c>
      <c r="BT43" s="2">
        <v>1</v>
      </c>
      <c r="BU43" s="2">
        <v>1</v>
      </c>
      <c r="BV43" s="2">
        <v>1</v>
      </c>
      <c r="BW43" s="2">
        <v>1</v>
      </c>
      <c r="BX43" s="2">
        <v>1</v>
      </c>
      <c r="BY43" s="2" t="s">
        <v>6</v>
      </c>
      <c r="BZ43" s="2">
        <v>0</v>
      </c>
      <c r="CA43" s="2">
        <v>0</v>
      </c>
      <c r="CB43" s="2" t="s">
        <v>6</v>
      </c>
      <c r="CC43" s="2"/>
      <c r="CD43" s="2"/>
      <c r="CE43" s="2">
        <v>0</v>
      </c>
      <c r="CF43" s="2">
        <v>0</v>
      </c>
      <c r="CG43" s="2">
        <v>0</v>
      </c>
      <c r="CH43" s="2"/>
      <c r="CI43" s="2"/>
      <c r="CJ43" s="2"/>
      <c r="CK43" s="2"/>
      <c r="CL43" s="2"/>
      <c r="CM43" s="2">
        <v>0</v>
      </c>
      <c r="CN43" s="2" t="s">
        <v>6</v>
      </c>
      <c r="CO43" s="2">
        <v>0</v>
      </c>
      <c r="CP43" s="2">
        <f t="shared" si="64"/>
        <v>6750</v>
      </c>
      <c r="CQ43" s="2">
        <f t="shared" si="65"/>
        <v>4319.75</v>
      </c>
      <c r="CR43" s="2">
        <f t="shared" si="66"/>
        <v>0</v>
      </c>
      <c r="CS43" s="2">
        <f t="shared" si="67"/>
        <v>0</v>
      </c>
      <c r="CT43" s="2">
        <f t="shared" si="68"/>
        <v>0</v>
      </c>
      <c r="CU43" s="2">
        <f t="shared" si="69"/>
        <v>0</v>
      </c>
      <c r="CV43" s="2">
        <f t="shared" si="70"/>
        <v>0</v>
      </c>
      <c r="CW43" s="2">
        <f t="shared" si="71"/>
        <v>0</v>
      </c>
      <c r="CX43" s="2">
        <f t="shared" si="72"/>
        <v>0</v>
      </c>
      <c r="CY43" s="2">
        <f>0</f>
        <v>0</v>
      </c>
      <c r="CZ43" s="2">
        <f>0</f>
        <v>0</v>
      </c>
      <c r="DA43" s="2"/>
      <c r="DB43" s="2"/>
      <c r="DC43" s="2" t="s">
        <v>6</v>
      </c>
      <c r="DD43" s="2" t="s">
        <v>6</v>
      </c>
      <c r="DE43" s="2" t="s">
        <v>6</v>
      </c>
      <c r="DF43" s="2" t="s">
        <v>6</v>
      </c>
      <c r="DG43" s="2" t="s">
        <v>6</v>
      </c>
      <c r="DH43" s="2" t="s">
        <v>6</v>
      </c>
      <c r="DI43" s="2" t="s">
        <v>6</v>
      </c>
      <c r="DJ43" s="2" t="s">
        <v>6</v>
      </c>
      <c r="DK43" s="2" t="s">
        <v>6</v>
      </c>
      <c r="DL43" s="2" t="s">
        <v>6</v>
      </c>
      <c r="DM43" s="2" t="s">
        <v>6</v>
      </c>
      <c r="DN43" s="2">
        <v>0</v>
      </c>
      <c r="DO43" s="2">
        <v>0</v>
      </c>
      <c r="DP43" s="2">
        <v>1</v>
      </c>
      <c r="DQ43" s="2">
        <v>1</v>
      </c>
      <c r="DR43" s="2"/>
      <c r="DS43" s="2"/>
      <c r="DT43" s="2"/>
      <c r="DU43" s="2">
        <v>1009</v>
      </c>
      <c r="DV43" s="2" t="s">
        <v>44</v>
      </c>
      <c r="DW43" s="2" t="s">
        <v>44</v>
      </c>
      <c r="DX43" s="2">
        <v>1000</v>
      </c>
      <c r="DY43" s="2"/>
      <c r="DZ43" s="2" t="s">
        <v>6</v>
      </c>
      <c r="EA43" s="2" t="s">
        <v>6</v>
      </c>
      <c r="EB43" s="2" t="s">
        <v>6</v>
      </c>
      <c r="EC43" s="2" t="s">
        <v>6</v>
      </c>
      <c r="ED43" s="2"/>
      <c r="EE43" s="2">
        <v>0</v>
      </c>
      <c r="EF43" s="2">
        <v>0</v>
      </c>
      <c r="EG43" s="2" t="s">
        <v>6</v>
      </c>
      <c r="EH43" s="2">
        <v>0</v>
      </c>
      <c r="EI43" s="2" t="s">
        <v>6</v>
      </c>
      <c r="EJ43" s="2">
        <v>0</v>
      </c>
      <c r="EK43" s="2">
        <v>3101</v>
      </c>
      <c r="EL43" s="2" t="s">
        <v>6</v>
      </c>
      <c r="EM43" s="2" t="s">
        <v>6</v>
      </c>
      <c r="EN43" s="2"/>
      <c r="EO43" s="2" t="s">
        <v>6</v>
      </c>
      <c r="EP43" s="2"/>
      <c r="EQ43" s="2">
        <v>0</v>
      </c>
      <c r="ER43" s="2">
        <v>4319.75</v>
      </c>
      <c r="ES43" s="111">
        <f>'1.Лок.смета.и.Акт'!F92</f>
        <v>4319.75</v>
      </c>
      <c r="ET43" s="2">
        <v>0</v>
      </c>
      <c r="EU43" s="2">
        <v>0</v>
      </c>
      <c r="EV43" s="2">
        <v>0</v>
      </c>
      <c r="EW43" s="2">
        <v>0</v>
      </c>
      <c r="EX43" s="2">
        <v>0</v>
      </c>
      <c r="EY43" s="2"/>
      <c r="EZ43" s="2"/>
      <c r="FA43" s="2"/>
      <c r="FB43" s="2"/>
      <c r="FC43" s="2"/>
      <c r="FD43" s="2"/>
      <c r="FE43" s="2"/>
      <c r="FF43" s="2"/>
      <c r="FG43" s="2"/>
      <c r="FH43" s="2"/>
      <c r="FI43" s="2"/>
      <c r="FJ43" s="2"/>
      <c r="FK43" s="2"/>
      <c r="FL43" s="2"/>
      <c r="FM43" s="2"/>
      <c r="FN43" s="2"/>
      <c r="FO43" s="2"/>
      <c r="FP43" s="2"/>
      <c r="FQ43" s="2">
        <v>0</v>
      </c>
      <c r="FR43" s="2">
        <f t="shared" si="73"/>
        <v>0</v>
      </c>
      <c r="FS43" s="2">
        <v>0</v>
      </c>
      <c r="FT43" s="2"/>
      <c r="FU43" s="2"/>
      <c r="FV43" s="2"/>
      <c r="FW43" s="2"/>
      <c r="FX43" s="2">
        <v>0</v>
      </c>
      <c r="FY43" s="2">
        <v>0</v>
      </c>
      <c r="FZ43" s="2"/>
      <c r="GA43" s="2" t="s">
        <v>6</v>
      </c>
      <c r="GB43" s="2"/>
      <c r="GC43" s="2"/>
      <c r="GD43" s="2">
        <v>1</v>
      </c>
      <c r="GE43" s="2"/>
      <c r="GF43" s="2">
        <v>286163957</v>
      </c>
      <c r="GG43" s="2">
        <v>2</v>
      </c>
      <c r="GH43" s="2">
        <v>1</v>
      </c>
      <c r="GI43" s="2">
        <v>-2</v>
      </c>
      <c r="GJ43" s="2">
        <v>0</v>
      </c>
      <c r="GK43" s="2">
        <v>0</v>
      </c>
      <c r="GL43" s="2">
        <f t="shared" si="74"/>
        <v>0</v>
      </c>
      <c r="GM43" s="2">
        <f t="shared" si="75"/>
        <v>6750</v>
      </c>
      <c r="GN43" s="2">
        <f t="shared" si="76"/>
        <v>6750</v>
      </c>
      <c r="GO43" s="2">
        <f t="shared" si="77"/>
        <v>0</v>
      </c>
      <c r="GP43" s="2">
        <f t="shared" si="78"/>
        <v>0</v>
      </c>
      <c r="GQ43" s="2"/>
      <c r="GR43" s="2">
        <v>0</v>
      </c>
      <c r="GS43" s="2">
        <v>3</v>
      </c>
      <c r="GT43" s="2">
        <v>0</v>
      </c>
      <c r="GU43" s="2" t="s">
        <v>6</v>
      </c>
      <c r="GV43" s="2">
        <f t="shared" si="79"/>
        <v>0</v>
      </c>
      <c r="GW43" s="2">
        <v>1</v>
      </c>
      <c r="GX43" s="2">
        <f t="shared" si="80"/>
        <v>0</v>
      </c>
      <c r="GY43" s="2"/>
      <c r="GZ43" s="2"/>
      <c r="HA43" s="2">
        <v>0</v>
      </c>
      <c r="HB43" s="2">
        <v>0</v>
      </c>
      <c r="HC43" s="2">
        <f t="shared" si="81"/>
        <v>0</v>
      </c>
      <c r="HD43" s="2"/>
      <c r="HE43" s="2" t="s">
        <v>6</v>
      </c>
      <c r="HF43" s="2" t="s">
        <v>6</v>
      </c>
      <c r="HG43" s="2"/>
      <c r="HH43" s="2"/>
      <c r="HI43" s="2"/>
      <c r="HJ43" s="2"/>
      <c r="HK43" s="2"/>
      <c r="HL43" s="2"/>
      <c r="HM43" s="2" t="s">
        <v>6</v>
      </c>
      <c r="HN43" s="2" t="s">
        <v>6</v>
      </c>
      <c r="HO43" s="2" t="s">
        <v>6</v>
      </c>
      <c r="HP43" s="2" t="s">
        <v>6</v>
      </c>
      <c r="HQ43" s="2" t="s">
        <v>6</v>
      </c>
      <c r="HR43" s="2"/>
      <c r="HS43" s="2"/>
      <c r="HT43" s="2"/>
      <c r="HU43" s="2"/>
      <c r="HV43" s="2"/>
      <c r="HW43" s="2"/>
      <c r="HX43" s="2"/>
      <c r="HY43" s="2"/>
      <c r="HZ43" s="2"/>
      <c r="IA43" s="2"/>
      <c r="IB43" s="2"/>
      <c r="IC43" s="2"/>
      <c r="ID43" s="2"/>
      <c r="IE43" s="2"/>
      <c r="IF43" s="2">
        <v>-1</v>
      </c>
      <c r="IG43" s="2"/>
      <c r="IH43" s="2"/>
      <c r="II43" s="2"/>
      <c r="IJ43" s="2"/>
      <c r="IK43" s="2">
        <v>0</v>
      </c>
      <c r="IL43" s="2"/>
      <c r="IM43" s="2"/>
      <c r="IN43" s="2"/>
      <c r="IO43" s="2"/>
      <c r="IP43" s="2"/>
      <c r="IQ43" s="2"/>
      <c r="IR43" s="2"/>
      <c r="IS43" s="2"/>
      <c r="IT43" s="2"/>
      <c r="IU43" s="2"/>
    </row>
    <row r="44" spans="1:255" x14ac:dyDescent="0.2">
      <c r="A44">
        <v>18</v>
      </c>
      <c r="B44">
        <v>1</v>
      </c>
      <c r="C44">
        <v>40</v>
      </c>
      <c r="E44" t="s">
        <v>66</v>
      </c>
      <c r="F44" t="e">
        <f>'2.Лок.смета.и.Акт'!#REF!</f>
        <v>#REF!</v>
      </c>
      <c r="G44" t="s">
        <v>68</v>
      </c>
      <c r="H44" t="s">
        <v>44</v>
      </c>
      <c r="I44">
        <f>I40*J44</f>
        <v>1.5625990000000001</v>
      </c>
      <c r="J44">
        <v>5.2999999999999999E-2</v>
      </c>
      <c r="K44">
        <v>5.2999999999999999E-2</v>
      </c>
      <c r="O44">
        <f t="shared" si="45"/>
        <v>25404</v>
      </c>
      <c r="P44">
        <f t="shared" si="46"/>
        <v>25404</v>
      </c>
      <c r="Q44">
        <f t="shared" si="47"/>
        <v>0</v>
      </c>
      <c r="R44">
        <f t="shared" si="48"/>
        <v>0</v>
      </c>
      <c r="S44">
        <f t="shared" si="49"/>
        <v>0</v>
      </c>
      <c r="T44">
        <f t="shared" si="50"/>
        <v>0</v>
      </c>
      <c r="U44">
        <f t="shared" si="51"/>
        <v>0</v>
      </c>
      <c r="V44">
        <f t="shared" si="52"/>
        <v>0</v>
      </c>
      <c r="W44">
        <f t="shared" si="53"/>
        <v>0</v>
      </c>
      <c r="X44">
        <f t="shared" si="54"/>
        <v>0</v>
      </c>
      <c r="Y44">
        <f t="shared" si="55"/>
        <v>0</v>
      </c>
      <c r="AA44">
        <v>74242617</v>
      </c>
      <c r="AB44">
        <f t="shared" si="56"/>
        <v>2150.4699999999998</v>
      </c>
      <c r="AC44">
        <f t="shared" si="82"/>
        <v>2150.4699999999998</v>
      </c>
      <c r="AD44">
        <f t="shared" si="82"/>
        <v>0</v>
      </c>
      <c r="AE44">
        <f t="shared" si="58"/>
        <v>0</v>
      </c>
      <c r="AF44">
        <f t="shared" si="59"/>
        <v>0</v>
      </c>
      <c r="AG44">
        <f t="shared" si="60"/>
        <v>0</v>
      </c>
      <c r="AH44">
        <f t="shared" si="61"/>
        <v>0</v>
      </c>
      <c r="AI44">
        <f t="shared" si="62"/>
        <v>0</v>
      </c>
      <c r="AJ44">
        <f t="shared" si="63"/>
        <v>0</v>
      </c>
      <c r="AK44">
        <v>2150.4700000000003</v>
      </c>
      <c r="AL44">
        <v>2150.4700000000003</v>
      </c>
      <c r="AM44">
        <v>0</v>
      </c>
      <c r="AN44">
        <v>0</v>
      </c>
      <c r="AO44">
        <v>0</v>
      </c>
      <c r="AP44">
        <v>0</v>
      </c>
      <c r="AQ44">
        <v>0</v>
      </c>
      <c r="AR44">
        <v>0</v>
      </c>
      <c r="AS44">
        <v>0</v>
      </c>
      <c r="AT44">
        <v>0</v>
      </c>
      <c r="AU44">
        <v>0</v>
      </c>
      <c r="AV44">
        <v>1</v>
      </c>
      <c r="AW44">
        <v>1</v>
      </c>
      <c r="AZ44">
        <v>1</v>
      </c>
      <c r="BA44">
        <v>1</v>
      </c>
      <c r="BB44">
        <v>1</v>
      </c>
      <c r="BC44">
        <v>7.56</v>
      </c>
      <c r="BD44" t="s">
        <v>6</v>
      </c>
      <c r="BE44" t="s">
        <v>6</v>
      </c>
      <c r="BF44" t="s">
        <v>6</v>
      </c>
      <c r="BG44" t="s">
        <v>6</v>
      </c>
      <c r="BH44">
        <v>3</v>
      </c>
      <c r="BI44">
        <v>0</v>
      </c>
      <c r="BJ44" t="s">
        <v>69</v>
      </c>
      <c r="BM44">
        <v>3101</v>
      </c>
      <c r="BN44">
        <v>0</v>
      </c>
      <c r="BO44" t="s">
        <v>6</v>
      </c>
      <c r="BP44">
        <v>0</v>
      </c>
      <c r="BQ44">
        <v>0</v>
      </c>
      <c r="BR44">
        <v>0</v>
      </c>
      <c r="BS44">
        <v>1</v>
      </c>
      <c r="BT44">
        <v>1</v>
      </c>
      <c r="BU44">
        <v>1</v>
      </c>
      <c r="BV44">
        <v>1</v>
      </c>
      <c r="BW44">
        <v>1</v>
      </c>
      <c r="BX44">
        <v>1</v>
      </c>
      <c r="BY44" t="s">
        <v>6</v>
      </c>
      <c r="BZ44">
        <v>0</v>
      </c>
      <c r="CA44">
        <v>0</v>
      </c>
      <c r="CB44" t="s">
        <v>6</v>
      </c>
      <c r="CE44">
        <v>0</v>
      </c>
      <c r="CF44">
        <v>0</v>
      </c>
      <c r="CG44">
        <v>0</v>
      </c>
      <c r="CM44">
        <v>0</v>
      </c>
      <c r="CN44" t="s">
        <v>6</v>
      </c>
      <c r="CO44">
        <v>0</v>
      </c>
      <c r="CP44">
        <f t="shared" si="64"/>
        <v>25404</v>
      </c>
      <c r="CQ44">
        <f t="shared" si="65"/>
        <v>16257.553199999998</v>
      </c>
      <c r="CR44">
        <f t="shared" si="66"/>
        <v>0</v>
      </c>
      <c r="CS44">
        <f t="shared" si="67"/>
        <v>0</v>
      </c>
      <c r="CT44">
        <f t="shared" si="68"/>
        <v>0</v>
      </c>
      <c r="CU44">
        <f t="shared" si="69"/>
        <v>0</v>
      </c>
      <c r="CV44">
        <f t="shared" si="70"/>
        <v>0</v>
      </c>
      <c r="CW44">
        <f t="shared" si="71"/>
        <v>0</v>
      </c>
      <c r="CX44">
        <f t="shared" si="72"/>
        <v>0</v>
      </c>
      <c r="CY44">
        <f>(S44+R44)*(BZ44/100)</f>
        <v>0</v>
      </c>
      <c r="CZ44">
        <f>(S44+R44)*(CA44/100)</f>
        <v>0</v>
      </c>
      <c r="DC44" t="s">
        <v>6</v>
      </c>
      <c r="DD44" t="s">
        <v>6</v>
      </c>
      <c r="DE44" t="s">
        <v>6</v>
      </c>
      <c r="DF44" t="s">
        <v>6</v>
      </c>
      <c r="DG44" t="s">
        <v>6</v>
      </c>
      <c r="DH44" t="s">
        <v>6</v>
      </c>
      <c r="DI44" t="s">
        <v>6</v>
      </c>
      <c r="DJ44" t="s">
        <v>6</v>
      </c>
      <c r="DK44" t="s">
        <v>6</v>
      </c>
      <c r="DL44" t="s">
        <v>6</v>
      </c>
      <c r="DM44" t="s">
        <v>6</v>
      </c>
      <c r="DN44">
        <v>0</v>
      </c>
      <c r="DO44">
        <v>0</v>
      </c>
      <c r="DP44">
        <v>1</v>
      </c>
      <c r="DQ44">
        <v>1</v>
      </c>
      <c r="DU44">
        <v>1009</v>
      </c>
      <c r="DV44" t="s">
        <v>44</v>
      </c>
      <c r="DW44" t="e">
        <f>'2.Лок.смета.и.Акт'!#REF!</f>
        <v>#REF!</v>
      </c>
      <c r="DX44">
        <v>1000</v>
      </c>
      <c r="DZ44" t="s">
        <v>6</v>
      </c>
      <c r="EA44" t="s">
        <v>6</v>
      </c>
      <c r="EB44" t="s">
        <v>6</v>
      </c>
      <c r="EC44" t="s">
        <v>6</v>
      </c>
      <c r="EE44">
        <v>0</v>
      </c>
      <c r="EF44">
        <v>0</v>
      </c>
      <c r="EG44" t="s">
        <v>6</v>
      </c>
      <c r="EH44">
        <v>0</v>
      </c>
      <c r="EI44" t="s">
        <v>6</v>
      </c>
      <c r="EJ44">
        <v>0</v>
      </c>
      <c r="EK44">
        <v>3101</v>
      </c>
      <c r="EL44" t="s">
        <v>6</v>
      </c>
      <c r="EM44" t="s">
        <v>6</v>
      </c>
      <c r="EO44" t="s">
        <v>6</v>
      </c>
      <c r="EQ44">
        <v>0</v>
      </c>
      <c r="ER44">
        <v>15550</v>
      </c>
      <c r="ES44">
        <v>2150.4700000000003</v>
      </c>
      <c r="ET44">
        <v>0</v>
      </c>
      <c r="EU44">
        <v>0</v>
      </c>
      <c r="EV44">
        <v>0</v>
      </c>
      <c r="EW44">
        <v>0</v>
      </c>
      <c r="EX44">
        <v>0</v>
      </c>
      <c r="EZ44">
        <v>5</v>
      </c>
      <c r="FC44">
        <v>0</v>
      </c>
      <c r="FD44">
        <v>18</v>
      </c>
      <c r="FF44">
        <v>15550</v>
      </c>
      <c r="FQ44">
        <v>0</v>
      </c>
      <c r="FR44">
        <f t="shared" si="73"/>
        <v>0</v>
      </c>
      <c r="FS44">
        <v>0</v>
      </c>
      <c r="FX44">
        <v>0</v>
      </c>
      <c r="FY44">
        <v>0</v>
      </c>
      <c r="GA44" t="s">
        <v>70</v>
      </c>
      <c r="GD44">
        <v>1</v>
      </c>
      <c r="GF44">
        <v>286163957</v>
      </c>
      <c r="GG44">
        <v>2</v>
      </c>
      <c r="GH44">
        <v>3</v>
      </c>
      <c r="GI44">
        <v>5</v>
      </c>
      <c r="GJ44">
        <v>0</v>
      </c>
      <c r="GK44">
        <v>0</v>
      </c>
      <c r="GL44">
        <f t="shared" si="74"/>
        <v>0</v>
      </c>
      <c r="GM44">
        <f t="shared" si="75"/>
        <v>25404</v>
      </c>
      <c r="GN44">
        <f t="shared" si="76"/>
        <v>25404</v>
      </c>
      <c r="GO44">
        <f t="shared" si="77"/>
        <v>0</v>
      </c>
      <c r="GP44">
        <f t="shared" si="78"/>
        <v>0</v>
      </c>
      <c r="GR44">
        <v>1</v>
      </c>
      <c r="GS44">
        <v>1</v>
      </c>
      <c r="GT44">
        <v>0</v>
      </c>
      <c r="GU44" t="s">
        <v>6</v>
      </c>
      <c r="GV44">
        <f t="shared" si="79"/>
        <v>0</v>
      </c>
      <c r="GW44">
        <v>1</v>
      </c>
      <c r="GX44">
        <f t="shared" si="80"/>
        <v>0</v>
      </c>
      <c r="HA44">
        <v>0</v>
      </c>
      <c r="HB44">
        <v>0</v>
      </c>
      <c r="HC44">
        <f t="shared" si="81"/>
        <v>0</v>
      </c>
      <c r="HE44" t="s">
        <v>39</v>
      </c>
      <c r="HF44" t="s">
        <v>40</v>
      </c>
      <c r="HM44" t="s">
        <v>6</v>
      </c>
      <c r="HN44" t="s">
        <v>6</v>
      </c>
      <c r="HO44" t="s">
        <v>6</v>
      </c>
      <c r="HP44" t="s">
        <v>6</v>
      </c>
      <c r="HQ44" t="s">
        <v>6</v>
      </c>
      <c r="IF44">
        <v>-1</v>
      </c>
      <c r="IK44">
        <v>0</v>
      </c>
    </row>
    <row r="45" spans="1:255" x14ac:dyDescent="0.2">
      <c r="A45" s="2">
        <v>18</v>
      </c>
      <c r="B45" s="2">
        <v>1</v>
      </c>
      <c r="C45" s="2">
        <v>32</v>
      </c>
      <c r="D45" s="2"/>
      <c r="E45" s="2" t="s">
        <v>71</v>
      </c>
      <c r="F45" s="2" t="s">
        <v>31</v>
      </c>
      <c r="G45" s="2" t="s">
        <v>32</v>
      </c>
      <c r="H45" s="2" t="s">
        <v>33</v>
      </c>
      <c r="I45" s="2">
        <f>I39*J45</f>
        <v>4.4224500000000004</v>
      </c>
      <c r="J45" s="207">
        <f>'5.Ведомость_списания'!F38</f>
        <v>0.15000000000000002</v>
      </c>
      <c r="K45" s="2">
        <v>0.15</v>
      </c>
      <c r="L45" s="2"/>
      <c r="M45" s="2"/>
      <c r="N45" s="2"/>
      <c r="O45" s="2">
        <f t="shared" si="45"/>
        <v>8</v>
      </c>
      <c r="P45" s="2">
        <f t="shared" si="46"/>
        <v>8</v>
      </c>
      <c r="Q45" s="2">
        <f t="shared" si="47"/>
        <v>0</v>
      </c>
      <c r="R45" s="2">
        <f t="shared" si="48"/>
        <v>0</v>
      </c>
      <c r="S45" s="2">
        <f t="shared" si="49"/>
        <v>0</v>
      </c>
      <c r="T45" s="2">
        <f t="shared" si="50"/>
        <v>0</v>
      </c>
      <c r="U45" s="2">
        <f t="shared" si="51"/>
        <v>0</v>
      </c>
      <c r="V45" s="2">
        <f t="shared" si="52"/>
        <v>0</v>
      </c>
      <c r="W45" s="2">
        <f t="shared" si="53"/>
        <v>0</v>
      </c>
      <c r="X45" s="2">
        <f t="shared" si="54"/>
        <v>0</v>
      </c>
      <c r="Y45" s="2">
        <f t="shared" si="55"/>
        <v>0</v>
      </c>
      <c r="Z45" s="2"/>
      <c r="AA45" s="2">
        <v>74242616</v>
      </c>
      <c r="AB45" s="2">
        <f t="shared" si="56"/>
        <v>1.82</v>
      </c>
      <c r="AC45" s="2">
        <f t="shared" si="82"/>
        <v>1.82</v>
      </c>
      <c r="AD45" s="2">
        <f t="shared" si="82"/>
        <v>0</v>
      </c>
      <c r="AE45" s="2">
        <f t="shared" si="58"/>
        <v>0</v>
      </c>
      <c r="AF45" s="2">
        <f t="shared" si="59"/>
        <v>0</v>
      </c>
      <c r="AG45" s="2">
        <f t="shared" si="60"/>
        <v>0</v>
      </c>
      <c r="AH45" s="2">
        <f t="shared" si="61"/>
        <v>0</v>
      </c>
      <c r="AI45" s="2">
        <f t="shared" si="62"/>
        <v>0</v>
      </c>
      <c r="AJ45" s="2">
        <f t="shared" si="63"/>
        <v>0</v>
      </c>
      <c r="AK45" s="2">
        <v>1.82</v>
      </c>
      <c r="AL45" s="111">
        <f>'1.Лок.смета.и.Акт'!F94</f>
        <v>1.82</v>
      </c>
      <c r="AM45" s="2">
        <v>0</v>
      </c>
      <c r="AN45" s="2">
        <v>0</v>
      </c>
      <c r="AO45" s="2">
        <v>0</v>
      </c>
      <c r="AP45" s="2">
        <v>0</v>
      </c>
      <c r="AQ45" s="2">
        <v>0</v>
      </c>
      <c r="AR45" s="2">
        <v>0</v>
      </c>
      <c r="AS45" s="2">
        <v>0</v>
      </c>
      <c r="AT45" s="2">
        <v>0</v>
      </c>
      <c r="AU45" s="2">
        <v>0</v>
      </c>
      <c r="AV45" s="2">
        <v>1</v>
      </c>
      <c r="AW45" s="2">
        <v>1</v>
      </c>
      <c r="AX45" s="2"/>
      <c r="AY45" s="2"/>
      <c r="AZ45" s="2">
        <v>1</v>
      </c>
      <c r="BA45" s="2">
        <v>1</v>
      </c>
      <c r="BB45" s="2">
        <v>1</v>
      </c>
      <c r="BC45" s="2">
        <v>1</v>
      </c>
      <c r="BD45" s="2" t="s">
        <v>6</v>
      </c>
      <c r="BE45" s="2" t="s">
        <v>6</v>
      </c>
      <c r="BF45" s="2" t="s">
        <v>6</v>
      </c>
      <c r="BG45" s="2" t="s">
        <v>6</v>
      </c>
      <c r="BH45" s="2">
        <v>3</v>
      </c>
      <c r="BI45" s="2">
        <v>0</v>
      </c>
      <c r="BJ45" s="2" t="s">
        <v>34</v>
      </c>
      <c r="BK45" s="2"/>
      <c r="BL45" s="2"/>
      <c r="BM45" s="2">
        <v>3101</v>
      </c>
      <c r="BN45" s="2">
        <v>0</v>
      </c>
      <c r="BO45" s="2" t="s">
        <v>6</v>
      </c>
      <c r="BP45" s="2">
        <v>0</v>
      </c>
      <c r="BQ45" s="2">
        <v>0</v>
      </c>
      <c r="BR45" s="2">
        <v>0</v>
      </c>
      <c r="BS45" s="2">
        <v>1</v>
      </c>
      <c r="BT45" s="2">
        <v>1</v>
      </c>
      <c r="BU45" s="2">
        <v>1</v>
      </c>
      <c r="BV45" s="2">
        <v>1</v>
      </c>
      <c r="BW45" s="2">
        <v>1</v>
      </c>
      <c r="BX45" s="2">
        <v>1</v>
      </c>
      <c r="BY45" s="2" t="s">
        <v>6</v>
      </c>
      <c r="BZ45" s="2">
        <v>0</v>
      </c>
      <c r="CA45" s="2">
        <v>0</v>
      </c>
      <c r="CB45" s="2" t="s">
        <v>6</v>
      </c>
      <c r="CC45" s="2"/>
      <c r="CD45" s="2"/>
      <c r="CE45" s="2">
        <v>0</v>
      </c>
      <c r="CF45" s="2">
        <v>0</v>
      </c>
      <c r="CG45" s="2">
        <v>0</v>
      </c>
      <c r="CH45" s="2"/>
      <c r="CI45" s="2"/>
      <c r="CJ45" s="2"/>
      <c r="CK45" s="2"/>
      <c r="CL45" s="2"/>
      <c r="CM45" s="2">
        <v>0</v>
      </c>
      <c r="CN45" s="2" t="s">
        <v>6</v>
      </c>
      <c r="CO45" s="2">
        <v>0</v>
      </c>
      <c r="CP45" s="2">
        <f t="shared" si="64"/>
        <v>8</v>
      </c>
      <c r="CQ45" s="2">
        <f t="shared" si="65"/>
        <v>1.82</v>
      </c>
      <c r="CR45" s="2">
        <f t="shared" si="66"/>
        <v>0</v>
      </c>
      <c r="CS45" s="2">
        <f t="shared" si="67"/>
        <v>0</v>
      </c>
      <c r="CT45" s="2">
        <f t="shared" si="68"/>
        <v>0</v>
      </c>
      <c r="CU45" s="2">
        <f t="shared" si="69"/>
        <v>0</v>
      </c>
      <c r="CV45" s="2">
        <f t="shared" si="70"/>
        <v>0</v>
      </c>
      <c r="CW45" s="2">
        <f t="shared" si="71"/>
        <v>0</v>
      </c>
      <c r="CX45" s="2">
        <f t="shared" si="72"/>
        <v>0</v>
      </c>
      <c r="CY45" s="2">
        <f>0</f>
        <v>0</v>
      </c>
      <c r="CZ45" s="2">
        <f>0</f>
        <v>0</v>
      </c>
      <c r="DA45" s="2"/>
      <c r="DB45" s="2"/>
      <c r="DC45" s="2" t="s">
        <v>6</v>
      </c>
      <c r="DD45" s="2" t="s">
        <v>6</v>
      </c>
      <c r="DE45" s="2" t="s">
        <v>6</v>
      </c>
      <c r="DF45" s="2" t="s">
        <v>6</v>
      </c>
      <c r="DG45" s="2" t="s">
        <v>6</v>
      </c>
      <c r="DH45" s="2" t="s">
        <v>6</v>
      </c>
      <c r="DI45" s="2" t="s">
        <v>6</v>
      </c>
      <c r="DJ45" s="2" t="s">
        <v>6</v>
      </c>
      <c r="DK45" s="2" t="s">
        <v>6</v>
      </c>
      <c r="DL45" s="2" t="s">
        <v>6</v>
      </c>
      <c r="DM45" s="2" t="s">
        <v>6</v>
      </c>
      <c r="DN45" s="2">
        <v>0</v>
      </c>
      <c r="DO45" s="2">
        <v>0</v>
      </c>
      <c r="DP45" s="2">
        <v>1</v>
      </c>
      <c r="DQ45" s="2">
        <v>1</v>
      </c>
      <c r="DR45" s="2"/>
      <c r="DS45" s="2"/>
      <c r="DT45" s="2"/>
      <c r="DU45" s="2">
        <v>1009</v>
      </c>
      <c r="DV45" s="2" t="s">
        <v>33</v>
      </c>
      <c r="DW45" s="2" t="s">
        <v>33</v>
      </c>
      <c r="DX45" s="2">
        <v>1</v>
      </c>
      <c r="DY45" s="2"/>
      <c r="DZ45" s="2" t="s">
        <v>6</v>
      </c>
      <c r="EA45" s="2" t="s">
        <v>6</v>
      </c>
      <c r="EB45" s="2" t="s">
        <v>6</v>
      </c>
      <c r="EC45" s="2" t="s">
        <v>6</v>
      </c>
      <c r="ED45" s="2"/>
      <c r="EE45" s="2">
        <v>0</v>
      </c>
      <c r="EF45" s="2">
        <v>0</v>
      </c>
      <c r="EG45" s="2" t="s">
        <v>6</v>
      </c>
      <c r="EH45" s="2">
        <v>0</v>
      </c>
      <c r="EI45" s="2" t="s">
        <v>6</v>
      </c>
      <c r="EJ45" s="2">
        <v>0</v>
      </c>
      <c r="EK45" s="2">
        <v>3101</v>
      </c>
      <c r="EL45" s="2" t="s">
        <v>6</v>
      </c>
      <c r="EM45" s="2" t="s">
        <v>6</v>
      </c>
      <c r="EN45" s="2"/>
      <c r="EO45" s="2" t="s">
        <v>6</v>
      </c>
      <c r="EP45" s="2"/>
      <c r="EQ45" s="2">
        <v>0</v>
      </c>
      <c r="ER45" s="2">
        <v>1.82</v>
      </c>
      <c r="ES45" s="111">
        <f>'1.Лок.смета.и.Акт'!F94</f>
        <v>1.82</v>
      </c>
      <c r="ET45" s="2">
        <v>0</v>
      </c>
      <c r="EU45" s="2">
        <v>0</v>
      </c>
      <c r="EV45" s="2">
        <v>0</v>
      </c>
      <c r="EW45" s="2">
        <v>0</v>
      </c>
      <c r="EX45" s="2">
        <v>0</v>
      </c>
      <c r="EY45" s="2"/>
      <c r="EZ45" s="2"/>
      <c r="FA45" s="2"/>
      <c r="FB45" s="2"/>
      <c r="FC45" s="2"/>
      <c r="FD45" s="2"/>
      <c r="FE45" s="2"/>
      <c r="FF45" s="2"/>
      <c r="FG45" s="2"/>
      <c r="FH45" s="2"/>
      <c r="FI45" s="2"/>
      <c r="FJ45" s="2"/>
      <c r="FK45" s="2"/>
      <c r="FL45" s="2"/>
      <c r="FM45" s="2"/>
      <c r="FN45" s="2"/>
      <c r="FO45" s="2"/>
      <c r="FP45" s="2"/>
      <c r="FQ45" s="2">
        <v>0</v>
      </c>
      <c r="FR45" s="2">
        <f t="shared" si="73"/>
        <v>0</v>
      </c>
      <c r="FS45" s="2">
        <v>0</v>
      </c>
      <c r="FT45" s="2"/>
      <c r="FU45" s="2"/>
      <c r="FV45" s="2"/>
      <c r="FW45" s="2"/>
      <c r="FX45" s="2">
        <v>0</v>
      </c>
      <c r="FY45" s="2">
        <v>0</v>
      </c>
      <c r="FZ45" s="2"/>
      <c r="GA45" s="2" t="s">
        <v>6</v>
      </c>
      <c r="GB45" s="2"/>
      <c r="GC45" s="2"/>
      <c r="GD45" s="2">
        <v>1</v>
      </c>
      <c r="GE45" s="2"/>
      <c r="GF45" s="2">
        <v>-386994921</v>
      </c>
      <c r="GG45" s="2">
        <v>2</v>
      </c>
      <c r="GH45" s="2">
        <v>0</v>
      </c>
      <c r="GI45" s="2">
        <v>-2</v>
      </c>
      <c r="GJ45" s="2">
        <v>0</v>
      </c>
      <c r="GK45" s="2">
        <v>0</v>
      </c>
      <c r="GL45" s="2">
        <f t="shared" si="74"/>
        <v>0</v>
      </c>
      <c r="GM45" s="2">
        <f t="shared" si="75"/>
        <v>8</v>
      </c>
      <c r="GN45" s="2">
        <f t="shared" si="76"/>
        <v>8</v>
      </c>
      <c r="GO45" s="2">
        <f t="shared" si="77"/>
        <v>0</v>
      </c>
      <c r="GP45" s="2">
        <f t="shared" si="78"/>
        <v>0</v>
      </c>
      <c r="GQ45" s="2"/>
      <c r="GR45" s="2">
        <v>0</v>
      </c>
      <c r="GS45" s="2">
        <v>3</v>
      </c>
      <c r="GT45" s="2">
        <v>0</v>
      </c>
      <c r="GU45" s="2" t="s">
        <v>6</v>
      </c>
      <c r="GV45" s="2">
        <f t="shared" si="79"/>
        <v>0</v>
      </c>
      <c r="GW45" s="2">
        <v>1</v>
      </c>
      <c r="GX45" s="2">
        <f t="shared" si="80"/>
        <v>0</v>
      </c>
      <c r="GY45" s="2"/>
      <c r="GZ45" s="2"/>
      <c r="HA45" s="2">
        <v>0</v>
      </c>
      <c r="HB45" s="2">
        <v>0</v>
      </c>
      <c r="HC45" s="2">
        <f t="shared" si="81"/>
        <v>0</v>
      </c>
      <c r="HD45" s="2"/>
      <c r="HE45" s="2" t="s">
        <v>6</v>
      </c>
      <c r="HF45" s="2" t="s">
        <v>6</v>
      </c>
      <c r="HG45" s="2"/>
      <c r="HH45" s="2"/>
      <c r="HI45" s="2"/>
      <c r="HJ45" s="2"/>
      <c r="HK45" s="2"/>
      <c r="HL45" s="2"/>
      <c r="HM45" s="2" t="s">
        <v>6</v>
      </c>
      <c r="HN45" s="2" t="s">
        <v>6</v>
      </c>
      <c r="HO45" s="2" t="s">
        <v>6</v>
      </c>
      <c r="HP45" s="2" t="s">
        <v>6</v>
      </c>
      <c r="HQ45" s="2" t="s">
        <v>6</v>
      </c>
      <c r="HR45" s="2"/>
      <c r="HS45" s="2"/>
      <c r="HT45" s="2"/>
      <c r="HU45" s="2"/>
      <c r="HV45" s="2"/>
      <c r="HW45" s="2"/>
      <c r="HX45" s="2"/>
      <c r="HY45" s="2"/>
      <c r="HZ45" s="2"/>
      <c r="IA45" s="2"/>
      <c r="IB45" s="2"/>
      <c r="IC45" s="2"/>
      <c r="ID45" s="2"/>
      <c r="IE45" s="2"/>
      <c r="IF45" s="2">
        <v>-1</v>
      </c>
      <c r="IG45" s="2"/>
      <c r="IH45" s="2"/>
      <c r="II45" s="2"/>
      <c r="IJ45" s="2"/>
      <c r="IK45" s="2">
        <v>0</v>
      </c>
      <c r="IL45" s="2"/>
      <c r="IM45" s="2"/>
      <c r="IN45" s="2"/>
      <c r="IO45" s="2"/>
      <c r="IP45" s="2"/>
      <c r="IQ45" s="2"/>
      <c r="IR45" s="2"/>
      <c r="IS45" s="2"/>
      <c r="IT45" s="2"/>
      <c r="IU45" s="2"/>
    </row>
    <row r="46" spans="1:255" x14ac:dyDescent="0.2">
      <c r="A46">
        <v>18</v>
      </c>
      <c r="B46">
        <v>1</v>
      </c>
      <c r="C46">
        <v>41</v>
      </c>
      <c r="E46" t="s">
        <v>71</v>
      </c>
      <c r="F46" t="e">
        <f>'2.Лок.смета.и.Акт'!#REF!</f>
        <v>#REF!</v>
      </c>
      <c r="G46" t="s">
        <v>32</v>
      </c>
      <c r="H46" t="s">
        <v>33</v>
      </c>
      <c r="I46">
        <f>I40*J46</f>
        <v>4.4224500000000004</v>
      </c>
      <c r="J46">
        <v>0.15000000000000002</v>
      </c>
      <c r="K46">
        <v>0.15</v>
      </c>
      <c r="O46">
        <f t="shared" si="45"/>
        <v>143</v>
      </c>
      <c r="P46">
        <f t="shared" si="46"/>
        <v>143</v>
      </c>
      <c r="Q46">
        <f t="shared" si="47"/>
        <v>0</v>
      </c>
      <c r="R46">
        <f t="shared" si="48"/>
        <v>0</v>
      </c>
      <c r="S46">
        <f t="shared" si="49"/>
        <v>0</v>
      </c>
      <c r="T46">
        <f t="shared" si="50"/>
        <v>0</v>
      </c>
      <c r="U46">
        <f t="shared" si="51"/>
        <v>0</v>
      </c>
      <c r="V46">
        <f t="shared" si="52"/>
        <v>0</v>
      </c>
      <c r="W46">
        <f t="shared" si="53"/>
        <v>0</v>
      </c>
      <c r="X46">
        <f t="shared" si="54"/>
        <v>0</v>
      </c>
      <c r="Y46">
        <f t="shared" si="55"/>
        <v>0</v>
      </c>
      <c r="AA46">
        <v>74242617</v>
      </c>
      <c r="AB46">
        <f t="shared" si="56"/>
        <v>4.28</v>
      </c>
      <c r="AC46">
        <f t="shared" si="82"/>
        <v>4.28</v>
      </c>
      <c r="AD46">
        <f t="shared" si="82"/>
        <v>0</v>
      </c>
      <c r="AE46">
        <f t="shared" si="58"/>
        <v>0</v>
      </c>
      <c r="AF46">
        <f t="shared" si="59"/>
        <v>0</v>
      </c>
      <c r="AG46">
        <f t="shared" si="60"/>
        <v>0</v>
      </c>
      <c r="AH46">
        <f t="shared" si="61"/>
        <v>0</v>
      </c>
      <c r="AI46">
        <f t="shared" si="62"/>
        <v>0</v>
      </c>
      <c r="AJ46">
        <f t="shared" si="63"/>
        <v>0</v>
      </c>
      <c r="AK46">
        <v>4.2799999999999994</v>
      </c>
      <c r="AL46">
        <v>4.2799999999999994</v>
      </c>
      <c r="AM46">
        <v>0</v>
      </c>
      <c r="AN46">
        <v>0</v>
      </c>
      <c r="AO46">
        <v>0</v>
      </c>
      <c r="AP46">
        <v>0</v>
      </c>
      <c r="AQ46">
        <v>0</v>
      </c>
      <c r="AR46">
        <v>0</v>
      </c>
      <c r="AS46">
        <v>0</v>
      </c>
      <c r="AT46">
        <v>0</v>
      </c>
      <c r="AU46">
        <v>0</v>
      </c>
      <c r="AV46">
        <v>1</v>
      </c>
      <c r="AW46">
        <v>1</v>
      </c>
      <c r="AZ46">
        <v>1</v>
      </c>
      <c r="BA46">
        <v>1</v>
      </c>
      <c r="BB46">
        <v>1</v>
      </c>
      <c r="BC46">
        <v>7.56</v>
      </c>
      <c r="BD46" t="s">
        <v>6</v>
      </c>
      <c r="BE46" t="s">
        <v>6</v>
      </c>
      <c r="BF46" t="s">
        <v>6</v>
      </c>
      <c r="BG46" t="s">
        <v>6</v>
      </c>
      <c r="BH46">
        <v>3</v>
      </c>
      <c r="BI46">
        <v>0</v>
      </c>
      <c r="BJ46" t="s">
        <v>34</v>
      </c>
      <c r="BM46">
        <v>3101</v>
      </c>
      <c r="BN46">
        <v>0</v>
      </c>
      <c r="BO46" t="s">
        <v>6</v>
      </c>
      <c r="BP46">
        <v>0</v>
      </c>
      <c r="BQ46">
        <v>0</v>
      </c>
      <c r="BR46">
        <v>0</v>
      </c>
      <c r="BS46">
        <v>1</v>
      </c>
      <c r="BT46">
        <v>1</v>
      </c>
      <c r="BU46">
        <v>1</v>
      </c>
      <c r="BV46">
        <v>1</v>
      </c>
      <c r="BW46">
        <v>1</v>
      </c>
      <c r="BX46">
        <v>1</v>
      </c>
      <c r="BY46" t="s">
        <v>6</v>
      </c>
      <c r="BZ46">
        <v>0</v>
      </c>
      <c r="CA46">
        <v>0</v>
      </c>
      <c r="CB46" t="s">
        <v>6</v>
      </c>
      <c r="CE46">
        <v>0</v>
      </c>
      <c r="CF46">
        <v>0</v>
      </c>
      <c r="CG46">
        <v>0</v>
      </c>
      <c r="CM46">
        <v>0</v>
      </c>
      <c r="CN46" t="s">
        <v>6</v>
      </c>
      <c r="CO46">
        <v>0</v>
      </c>
      <c r="CP46">
        <f t="shared" si="64"/>
        <v>143</v>
      </c>
      <c r="CQ46">
        <f t="shared" si="65"/>
        <v>32.3568</v>
      </c>
      <c r="CR46">
        <f t="shared" si="66"/>
        <v>0</v>
      </c>
      <c r="CS46">
        <f t="shared" si="67"/>
        <v>0</v>
      </c>
      <c r="CT46">
        <f t="shared" si="68"/>
        <v>0</v>
      </c>
      <c r="CU46">
        <f t="shared" si="69"/>
        <v>0</v>
      </c>
      <c r="CV46">
        <f t="shared" si="70"/>
        <v>0</v>
      </c>
      <c r="CW46">
        <f t="shared" si="71"/>
        <v>0</v>
      </c>
      <c r="CX46">
        <f t="shared" si="72"/>
        <v>0</v>
      </c>
      <c r="CY46">
        <f>(S46+R46)*(BZ46/100)</f>
        <v>0</v>
      </c>
      <c r="CZ46">
        <f>(S46+R46)*(CA46/100)</f>
        <v>0</v>
      </c>
      <c r="DC46" t="s">
        <v>6</v>
      </c>
      <c r="DD46" t="s">
        <v>6</v>
      </c>
      <c r="DE46" t="s">
        <v>6</v>
      </c>
      <c r="DF46" t="s">
        <v>6</v>
      </c>
      <c r="DG46" t="s">
        <v>6</v>
      </c>
      <c r="DH46" t="s">
        <v>6</v>
      </c>
      <c r="DI46" t="s">
        <v>6</v>
      </c>
      <c r="DJ46" t="s">
        <v>6</v>
      </c>
      <c r="DK46" t="s">
        <v>6</v>
      </c>
      <c r="DL46" t="s">
        <v>6</v>
      </c>
      <c r="DM46" t="s">
        <v>6</v>
      </c>
      <c r="DN46">
        <v>0</v>
      </c>
      <c r="DO46">
        <v>0</v>
      </c>
      <c r="DP46">
        <v>1</v>
      </c>
      <c r="DQ46">
        <v>1</v>
      </c>
      <c r="DU46">
        <v>1009</v>
      </c>
      <c r="DV46" t="s">
        <v>33</v>
      </c>
      <c r="DW46" t="e">
        <f>'2.Лок.смета.и.Акт'!#REF!</f>
        <v>#REF!</v>
      </c>
      <c r="DX46">
        <v>1</v>
      </c>
      <c r="DZ46" t="s">
        <v>6</v>
      </c>
      <c r="EA46" t="s">
        <v>6</v>
      </c>
      <c r="EB46" t="s">
        <v>6</v>
      </c>
      <c r="EC46" t="s">
        <v>6</v>
      </c>
      <c r="EE46">
        <v>0</v>
      </c>
      <c r="EF46">
        <v>0</v>
      </c>
      <c r="EG46" t="s">
        <v>6</v>
      </c>
      <c r="EH46">
        <v>0</v>
      </c>
      <c r="EI46" t="s">
        <v>6</v>
      </c>
      <c r="EJ46">
        <v>0</v>
      </c>
      <c r="EK46">
        <v>3101</v>
      </c>
      <c r="EL46" t="s">
        <v>6</v>
      </c>
      <c r="EM46" t="s">
        <v>6</v>
      </c>
      <c r="EO46" t="s">
        <v>6</v>
      </c>
      <c r="EQ46">
        <v>0</v>
      </c>
      <c r="ER46">
        <v>31</v>
      </c>
      <c r="ES46">
        <v>4.2799999999999994</v>
      </c>
      <c r="ET46">
        <v>0</v>
      </c>
      <c r="EU46">
        <v>0</v>
      </c>
      <c r="EV46">
        <v>0</v>
      </c>
      <c r="EW46">
        <v>0</v>
      </c>
      <c r="EX46">
        <v>0</v>
      </c>
      <c r="EZ46">
        <v>5</v>
      </c>
      <c r="FC46">
        <v>0</v>
      </c>
      <c r="FD46">
        <v>18</v>
      </c>
      <c r="FF46">
        <v>31</v>
      </c>
      <c r="FQ46">
        <v>0</v>
      </c>
      <c r="FR46">
        <f t="shared" si="73"/>
        <v>0</v>
      </c>
      <c r="FS46">
        <v>0</v>
      </c>
      <c r="FX46">
        <v>0</v>
      </c>
      <c r="FY46">
        <v>0</v>
      </c>
      <c r="GA46" t="s">
        <v>38</v>
      </c>
      <c r="GD46">
        <v>1</v>
      </c>
      <c r="GF46">
        <v>-386994921</v>
      </c>
      <c r="GG46">
        <v>2</v>
      </c>
      <c r="GH46">
        <v>3</v>
      </c>
      <c r="GI46">
        <v>5</v>
      </c>
      <c r="GJ46">
        <v>0</v>
      </c>
      <c r="GK46">
        <v>0</v>
      </c>
      <c r="GL46">
        <f t="shared" si="74"/>
        <v>0</v>
      </c>
      <c r="GM46">
        <f t="shared" si="75"/>
        <v>143</v>
      </c>
      <c r="GN46">
        <f t="shared" si="76"/>
        <v>143</v>
      </c>
      <c r="GO46">
        <f t="shared" si="77"/>
        <v>0</v>
      </c>
      <c r="GP46">
        <f t="shared" si="78"/>
        <v>0</v>
      </c>
      <c r="GR46">
        <v>1</v>
      </c>
      <c r="GS46">
        <v>1</v>
      </c>
      <c r="GT46">
        <v>0</v>
      </c>
      <c r="GU46" t="s">
        <v>6</v>
      </c>
      <c r="GV46">
        <f t="shared" si="79"/>
        <v>0</v>
      </c>
      <c r="GW46">
        <v>1</v>
      </c>
      <c r="GX46">
        <f t="shared" si="80"/>
        <v>0</v>
      </c>
      <c r="HA46">
        <v>0</v>
      </c>
      <c r="HB46">
        <v>0</v>
      </c>
      <c r="HC46">
        <f t="shared" si="81"/>
        <v>0</v>
      </c>
      <c r="HE46" t="s">
        <v>39</v>
      </c>
      <c r="HF46" t="s">
        <v>40</v>
      </c>
      <c r="HM46" t="s">
        <v>6</v>
      </c>
      <c r="HN46" t="s">
        <v>6</v>
      </c>
      <c r="HO46" t="s">
        <v>6</v>
      </c>
      <c r="HP46" t="s">
        <v>6</v>
      </c>
      <c r="HQ46" t="s">
        <v>6</v>
      </c>
      <c r="IF46">
        <v>-1</v>
      </c>
      <c r="IK46">
        <v>0</v>
      </c>
    </row>
    <row r="47" spans="1:255" x14ac:dyDescent="0.2">
      <c r="A47" s="2">
        <v>18</v>
      </c>
      <c r="B47" s="2">
        <v>1</v>
      </c>
      <c r="C47" s="2">
        <v>33</v>
      </c>
      <c r="D47" s="2"/>
      <c r="E47" s="2" t="s">
        <v>72</v>
      </c>
      <c r="F47" s="2" t="s">
        <v>73</v>
      </c>
      <c r="G47" s="2" t="s">
        <v>74</v>
      </c>
      <c r="H47" s="2" t="s">
        <v>75</v>
      </c>
      <c r="I47" s="2">
        <f>I39*J47</f>
        <v>0.72528199999999998</v>
      </c>
      <c r="J47" s="207">
        <f>'5.Ведомость_списания'!F39</f>
        <v>2.4600006783570192E-2</v>
      </c>
      <c r="K47" s="2">
        <v>2.46E-2</v>
      </c>
      <c r="L47" s="2"/>
      <c r="M47" s="2"/>
      <c r="N47" s="2"/>
      <c r="O47" s="2">
        <f t="shared" si="45"/>
        <v>5</v>
      </c>
      <c r="P47" s="2">
        <f t="shared" si="46"/>
        <v>5</v>
      </c>
      <c r="Q47" s="2">
        <f t="shared" si="47"/>
        <v>0</v>
      </c>
      <c r="R47" s="2">
        <f t="shared" si="48"/>
        <v>0</v>
      </c>
      <c r="S47" s="2">
        <f t="shared" si="49"/>
        <v>0</v>
      </c>
      <c r="T47" s="2">
        <f t="shared" si="50"/>
        <v>0</v>
      </c>
      <c r="U47" s="2">
        <f t="shared" si="51"/>
        <v>0</v>
      </c>
      <c r="V47" s="2">
        <f t="shared" si="52"/>
        <v>0</v>
      </c>
      <c r="W47" s="2">
        <f t="shared" si="53"/>
        <v>0</v>
      </c>
      <c r="X47" s="2">
        <f t="shared" si="54"/>
        <v>0</v>
      </c>
      <c r="Y47" s="2">
        <f t="shared" si="55"/>
        <v>0</v>
      </c>
      <c r="Z47" s="2"/>
      <c r="AA47" s="2">
        <v>74242616</v>
      </c>
      <c r="AB47" s="2">
        <f t="shared" si="56"/>
        <v>7.14</v>
      </c>
      <c r="AC47" s="2">
        <f t="shared" si="82"/>
        <v>7.14</v>
      </c>
      <c r="AD47" s="2">
        <f t="shared" si="82"/>
        <v>0</v>
      </c>
      <c r="AE47" s="2">
        <f t="shared" si="58"/>
        <v>0</v>
      </c>
      <c r="AF47" s="2">
        <f t="shared" si="59"/>
        <v>0</v>
      </c>
      <c r="AG47" s="2">
        <f t="shared" si="60"/>
        <v>0</v>
      </c>
      <c r="AH47" s="2">
        <f t="shared" si="61"/>
        <v>0</v>
      </c>
      <c r="AI47" s="2">
        <f t="shared" si="62"/>
        <v>0</v>
      </c>
      <c r="AJ47" s="2">
        <f t="shared" si="63"/>
        <v>0</v>
      </c>
      <c r="AK47" s="2">
        <v>7.14</v>
      </c>
      <c r="AL47" s="111">
        <f>'1.Лок.смета.и.Акт'!F96</f>
        <v>7.14</v>
      </c>
      <c r="AM47" s="2">
        <v>0</v>
      </c>
      <c r="AN47" s="2">
        <v>0</v>
      </c>
      <c r="AO47" s="2">
        <v>0</v>
      </c>
      <c r="AP47" s="2">
        <v>0</v>
      </c>
      <c r="AQ47" s="2">
        <v>0</v>
      </c>
      <c r="AR47" s="2">
        <v>0</v>
      </c>
      <c r="AS47" s="2">
        <v>0</v>
      </c>
      <c r="AT47" s="2">
        <v>0</v>
      </c>
      <c r="AU47" s="2">
        <v>0</v>
      </c>
      <c r="AV47" s="2">
        <v>1</v>
      </c>
      <c r="AW47" s="2">
        <v>1</v>
      </c>
      <c r="AX47" s="2"/>
      <c r="AY47" s="2"/>
      <c r="AZ47" s="2">
        <v>1</v>
      </c>
      <c r="BA47" s="2">
        <v>1</v>
      </c>
      <c r="BB47" s="2">
        <v>1</v>
      </c>
      <c r="BC47" s="2">
        <v>1</v>
      </c>
      <c r="BD47" s="2" t="s">
        <v>6</v>
      </c>
      <c r="BE47" s="2" t="s">
        <v>6</v>
      </c>
      <c r="BF47" s="2" t="s">
        <v>6</v>
      </c>
      <c r="BG47" s="2" t="s">
        <v>6</v>
      </c>
      <c r="BH47" s="2">
        <v>3</v>
      </c>
      <c r="BI47" s="2">
        <v>0</v>
      </c>
      <c r="BJ47" s="2" t="s">
        <v>76</v>
      </c>
      <c r="BK47" s="2"/>
      <c r="BL47" s="2"/>
      <c r="BM47" s="2">
        <v>3411</v>
      </c>
      <c r="BN47" s="2">
        <v>0</v>
      </c>
      <c r="BO47" s="2" t="s">
        <v>6</v>
      </c>
      <c r="BP47" s="2">
        <v>0</v>
      </c>
      <c r="BQ47" s="2">
        <v>0</v>
      </c>
      <c r="BR47" s="2">
        <v>0</v>
      </c>
      <c r="BS47" s="2">
        <v>1</v>
      </c>
      <c r="BT47" s="2">
        <v>1</v>
      </c>
      <c r="BU47" s="2">
        <v>1</v>
      </c>
      <c r="BV47" s="2">
        <v>1</v>
      </c>
      <c r="BW47" s="2">
        <v>1</v>
      </c>
      <c r="BX47" s="2">
        <v>1</v>
      </c>
      <c r="BY47" s="2" t="s">
        <v>6</v>
      </c>
      <c r="BZ47" s="2">
        <v>0</v>
      </c>
      <c r="CA47" s="2">
        <v>0</v>
      </c>
      <c r="CB47" s="2" t="s">
        <v>6</v>
      </c>
      <c r="CC47" s="2"/>
      <c r="CD47" s="2"/>
      <c r="CE47" s="2">
        <v>0</v>
      </c>
      <c r="CF47" s="2">
        <v>0</v>
      </c>
      <c r="CG47" s="2">
        <v>0</v>
      </c>
      <c r="CH47" s="2"/>
      <c r="CI47" s="2"/>
      <c r="CJ47" s="2"/>
      <c r="CK47" s="2"/>
      <c r="CL47" s="2"/>
      <c r="CM47" s="2">
        <v>0</v>
      </c>
      <c r="CN47" s="2" t="s">
        <v>6</v>
      </c>
      <c r="CO47" s="2">
        <v>0</v>
      </c>
      <c r="CP47" s="2">
        <f t="shared" si="64"/>
        <v>5</v>
      </c>
      <c r="CQ47" s="2">
        <f t="shared" si="65"/>
        <v>7.14</v>
      </c>
      <c r="CR47" s="2">
        <f t="shared" si="66"/>
        <v>0</v>
      </c>
      <c r="CS47" s="2">
        <f t="shared" si="67"/>
        <v>0</v>
      </c>
      <c r="CT47" s="2">
        <f t="shared" si="68"/>
        <v>0</v>
      </c>
      <c r="CU47" s="2">
        <f t="shared" si="69"/>
        <v>0</v>
      </c>
      <c r="CV47" s="2">
        <f t="shared" si="70"/>
        <v>0</v>
      </c>
      <c r="CW47" s="2">
        <f t="shared" si="71"/>
        <v>0</v>
      </c>
      <c r="CX47" s="2">
        <f t="shared" si="72"/>
        <v>0</v>
      </c>
      <c r="CY47" s="2">
        <f>0</f>
        <v>0</v>
      </c>
      <c r="CZ47" s="2">
        <f>0</f>
        <v>0</v>
      </c>
      <c r="DA47" s="2"/>
      <c r="DB47" s="2"/>
      <c r="DC47" s="2" t="s">
        <v>6</v>
      </c>
      <c r="DD47" s="2" t="s">
        <v>6</v>
      </c>
      <c r="DE47" s="2" t="s">
        <v>6</v>
      </c>
      <c r="DF47" s="2" t="s">
        <v>6</v>
      </c>
      <c r="DG47" s="2" t="s">
        <v>6</v>
      </c>
      <c r="DH47" s="2" t="s">
        <v>6</v>
      </c>
      <c r="DI47" s="2" t="s">
        <v>6</v>
      </c>
      <c r="DJ47" s="2" t="s">
        <v>6</v>
      </c>
      <c r="DK47" s="2" t="s">
        <v>6</v>
      </c>
      <c r="DL47" s="2" t="s">
        <v>6</v>
      </c>
      <c r="DM47" s="2" t="s">
        <v>6</v>
      </c>
      <c r="DN47" s="2">
        <v>0</v>
      </c>
      <c r="DO47" s="2">
        <v>0</v>
      </c>
      <c r="DP47" s="2">
        <v>1</v>
      </c>
      <c r="DQ47" s="2">
        <v>1</v>
      </c>
      <c r="DR47" s="2"/>
      <c r="DS47" s="2"/>
      <c r="DT47" s="2"/>
      <c r="DU47" s="2">
        <v>1007</v>
      </c>
      <c r="DV47" s="2" t="s">
        <v>75</v>
      </c>
      <c r="DW47" s="2" t="s">
        <v>75</v>
      </c>
      <c r="DX47" s="2">
        <v>1</v>
      </c>
      <c r="DY47" s="2"/>
      <c r="DZ47" s="2" t="s">
        <v>6</v>
      </c>
      <c r="EA47" s="2" t="s">
        <v>6</v>
      </c>
      <c r="EB47" s="2" t="s">
        <v>6</v>
      </c>
      <c r="EC47" s="2" t="s">
        <v>6</v>
      </c>
      <c r="ED47" s="2"/>
      <c r="EE47" s="2">
        <v>0</v>
      </c>
      <c r="EF47" s="2">
        <v>0</v>
      </c>
      <c r="EG47" s="2" t="s">
        <v>6</v>
      </c>
      <c r="EH47" s="2">
        <v>0</v>
      </c>
      <c r="EI47" s="2" t="s">
        <v>6</v>
      </c>
      <c r="EJ47" s="2">
        <v>0</v>
      </c>
      <c r="EK47" s="2">
        <v>3411</v>
      </c>
      <c r="EL47" s="2" t="s">
        <v>6</v>
      </c>
      <c r="EM47" s="2" t="s">
        <v>6</v>
      </c>
      <c r="EN47" s="2"/>
      <c r="EO47" s="2" t="s">
        <v>6</v>
      </c>
      <c r="EP47" s="2"/>
      <c r="EQ47" s="2">
        <v>0</v>
      </c>
      <c r="ER47" s="2">
        <v>7.14</v>
      </c>
      <c r="ES47" s="111">
        <f>'1.Лок.смета.и.Акт'!F96</f>
        <v>7.14</v>
      </c>
      <c r="ET47" s="2">
        <v>0</v>
      </c>
      <c r="EU47" s="2">
        <v>0</v>
      </c>
      <c r="EV47" s="2">
        <v>0</v>
      </c>
      <c r="EW47" s="2">
        <v>0</v>
      </c>
      <c r="EX47" s="2">
        <v>0</v>
      </c>
      <c r="EY47" s="2"/>
      <c r="EZ47" s="2"/>
      <c r="FA47" s="2"/>
      <c r="FB47" s="2"/>
      <c r="FC47" s="2"/>
      <c r="FD47" s="2"/>
      <c r="FE47" s="2"/>
      <c r="FF47" s="2"/>
      <c r="FG47" s="2"/>
      <c r="FH47" s="2"/>
      <c r="FI47" s="2"/>
      <c r="FJ47" s="2"/>
      <c r="FK47" s="2"/>
      <c r="FL47" s="2"/>
      <c r="FM47" s="2"/>
      <c r="FN47" s="2"/>
      <c r="FO47" s="2"/>
      <c r="FP47" s="2"/>
      <c r="FQ47" s="2">
        <v>0</v>
      </c>
      <c r="FR47" s="2">
        <f t="shared" si="73"/>
        <v>0</v>
      </c>
      <c r="FS47" s="2">
        <v>0</v>
      </c>
      <c r="FT47" s="2"/>
      <c r="FU47" s="2"/>
      <c r="FV47" s="2"/>
      <c r="FW47" s="2"/>
      <c r="FX47" s="2">
        <v>0</v>
      </c>
      <c r="FY47" s="2">
        <v>0</v>
      </c>
      <c r="FZ47" s="2"/>
      <c r="GA47" s="2" t="s">
        <v>6</v>
      </c>
      <c r="GB47" s="2"/>
      <c r="GC47" s="2"/>
      <c r="GD47" s="2">
        <v>1</v>
      </c>
      <c r="GE47" s="2"/>
      <c r="GF47" s="2">
        <v>1444665788</v>
      </c>
      <c r="GG47" s="2">
        <v>2</v>
      </c>
      <c r="GH47" s="2">
        <v>1</v>
      </c>
      <c r="GI47" s="2">
        <v>-2</v>
      </c>
      <c r="GJ47" s="2">
        <v>0</v>
      </c>
      <c r="GK47" s="2">
        <v>0</v>
      </c>
      <c r="GL47" s="2">
        <f t="shared" si="74"/>
        <v>0</v>
      </c>
      <c r="GM47" s="2">
        <f t="shared" si="75"/>
        <v>5</v>
      </c>
      <c r="GN47" s="2">
        <f t="shared" si="76"/>
        <v>5</v>
      </c>
      <c r="GO47" s="2">
        <f t="shared" si="77"/>
        <v>0</v>
      </c>
      <c r="GP47" s="2">
        <f t="shared" si="78"/>
        <v>0</v>
      </c>
      <c r="GQ47" s="2"/>
      <c r="GR47" s="2">
        <v>0</v>
      </c>
      <c r="GS47" s="2">
        <v>3</v>
      </c>
      <c r="GT47" s="2">
        <v>0</v>
      </c>
      <c r="GU47" s="2" t="s">
        <v>6</v>
      </c>
      <c r="GV47" s="2">
        <f t="shared" si="79"/>
        <v>0</v>
      </c>
      <c r="GW47" s="2">
        <v>1</v>
      </c>
      <c r="GX47" s="2">
        <f t="shared" si="80"/>
        <v>0</v>
      </c>
      <c r="GY47" s="2"/>
      <c r="GZ47" s="2"/>
      <c r="HA47" s="2">
        <v>0</v>
      </c>
      <c r="HB47" s="2">
        <v>0</v>
      </c>
      <c r="HC47" s="2">
        <f t="shared" si="81"/>
        <v>0</v>
      </c>
      <c r="HD47" s="2"/>
      <c r="HE47" s="2" t="s">
        <v>6</v>
      </c>
      <c r="HF47" s="2" t="s">
        <v>6</v>
      </c>
      <c r="HG47" s="2"/>
      <c r="HH47" s="2"/>
      <c r="HI47" s="2"/>
      <c r="HJ47" s="2"/>
      <c r="HK47" s="2"/>
      <c r="HL47" s="2"/>
      <c r="HM47" s="2" t="s">
        <v>6</v>
      </c>
      <c r="HN47" s="2" t="s">
        <v>6</v>
      </c>
      <c r="HO47" s="2" t="s">
        <v>6</v>
      </c>
      <c r="HP47" s="2" t="s">
        <v>6</v>
      </c>
      <c r="HQ47" s="2" t="s">
        <v>6</v>
      </c>
      <c r="HR47" s="2"/>
      <c r="HS47" s="2"/>
      <c r="HT47" s="2"/>
      <c r="HU47" s="2"/>
      <c r="HV47" s="2"/>
      <c r="HW47" s="2"/>
      <c r="HX47" s="2"/>
      <c r="HY47" s="2"/>
      <c r="HZ47" s="2"/>
      <c r="IA47" s="2"/>
      <c r="IB47" s="2"/>
      <c r="IC47" s="2"/>
      <c r="ID47" s="2"/>
      <c r="IE47" s="2"/>
      <c r="IF47" s="2">
        <v>-1</v>
      </c>
      <c r="IG47" s="2"/>
      <c r="IH47" s="2"/>
      <c r="II47" s="2"/>
      <c r="IJ47" s="2"/>
      <c r="IK47" s="2">
        <v>0</v>
      </c>
      <c r="IL47" s="2"/>
      <c r="IM47" s="2"/>
      <c r="IN47" s="2"/>
      <c r="IO47" s="2"/>
      <c r="IP47" s="2"/>
      <c r="IQ47" s="2"/>
      <c r="IR47" s="2"/>
      <c r="IS47" s="2"/>
      <c r="IT47" s="2"/>
      <c r="IU47" s="2"/>
    </row>
    <row r="48" spans="1:255" x14ac:dyDescent="0.2">
      <c r="A48">
        <v>18</v>
      </c>
      <c r="B48">
        <v>1</v>
      </c>
      <c r="C48">
        <v>42</v>
      </c>
      <c r="E48" t="s">
        <v>72</v>
      </c>
      <c r="F48" t="e">
        <f>'2.Лок.смета.и.Акт'!#REF!</f>
        <v>#REF!</v>
      </c>
      <c r="G48" t="s">
        <v>74</v>
      </c>
      <c r="H48" t="s">
        <v>75</v>
      </c>
      <c r="I48">
        <f>I40*J48</f>
        <v>0.72528199999999998</v>
      </c>
      <c r="J48">
        <v>2.4600006783570192E-2</v>
      </c>
      <c r="K48">
        <v>2.46E-2</v>
      </c>
      <c r="O48">
        <f t="shared" si="45"/>
        <v>11</v>
      </c>
      <c r="P48">
        <f t="shared" si="46"/>
        <v>11</v>
      </c>
      <c r="Q48">
        <f t="shared" si="47"/>
        <v>0</v>
      </c>
      <c r="R48">
        <f t="shared" si="48"/>
        <v>0</v>
      </c>
      <c r="S48">
        <f t="shared" si="49"/>
        <v>0</v>
      </c>
      <c r="T48">
        <f t="shared" si="50"/>
        <v>0</v>
      </c>
      <c r="U48">
        <f t="shared" si="51"/>
        <v>0</v>
      </c>
      <c r="V48">
        <f t="shared" si="52"/>
        <v>0</v>
      </c>
      <c r="W48">
        <f t="shared" si="53"/>
        <v>0</v>
      </c>
      <c r="X48">
        <f t="shared" si="54"/>
        <v>0</v>
      </c>
      <c r="Y48">
        <f t="shared" si="55"/>
        <v>0</v>
      </c>
      <c r="AA48">
        <v>74242617</v>
      </c>
      <c r="AB48">
        <f t="shared" si="56"/>
        <v>1.97</v>
      </c>
      <c r="AC48">
        <f t="shared" si="82"/>
        <v>1.97</v>
      </c>
      <c r="AD48">
        <f t="shared" si="82"/>
        <v>0</v>
      </c>
      <c r="AE48">
        <f t="shared" si="58"/>
        <v>0</v>
      </c>
      <c r="AF48">
        <f t="shared" si="59"/>
        <v>0</v>
      </c>
      <c r="AG48">
        <f t="shared" si="60"/>
        <v>0</v>
      </c>
      <c r="AH48">
        <f t="shared" si="61"/>
        <v>0</v>
      </c>
      <c r="AI48">
        <f t="shared" si="62"/>
        <v>0</v>
      </c>
      <c r="AJ48">
        <f t="shared" si="63"/>
        <v>0</v>
      </c>
      <c r="AK48">
        <v>1.97</v>
      </c>
      <c r="AL48">
        <v>1.97</v>
      </c>
      <c r="AM48">
        <v>0</v>
      </c>
      <c r="AN48">
        <v>0</v>
      </c>
      <c r="AO48">
        <v>0</v>
      </c>
      <c r="AP48">
        <v>0</v>
      </c>
      <c r="AQ48">
        <v>0</v>
      </c>
      <c r="AR48">
        <v>0</v>
      </c>
      <c r="AS48">
        <v>0</v>
      </c>
      <c r="AT48">
        <v>0</v>
      </c>
      <c r="AU48">
        <v>0</v>
      </c>
      <c r="AV48">
        <v>1</v>
      </c>
      <c r="AW48">
        <v>1</v>
      </c>
      <c r="AZ48">
        <v>1</v>
      </c>
      <c r="BA48">
        <v>1</v>
      </c>
      <c r="BB48">
        <v>1</v>
      </c>
      <c r="BC48">
        <v>7.56</v>
      </c>
      <c r="BD48" t="s">
        <v>6</v>
      </c>
      <c r="BE48" t="s">
        <v>6</v>
      </c>
      <c r="BF48" t="s">
        <v>6</v>
      </c>
      <c r="BG48" t="s">
        <v>6</v>
      </c>
      <c r="BH48">
        <v>3</v>
      </c>
      <c r="BI48">
        <v>0</v>
      </c>
      <c r="BJ48" t="s">
        <v>76</v>
      </c>
      <c r="BM48">
        <v>3411</v>
      </c>
      <c r="BN48">
        <v>0</v>
      </c>
      <c r="BO48" t="s">
        <v>6</v>
      </c>
      <c r="BP48">
        <v>0</v>
      </c>
      <c r="BQ48">
        <v>0</v>
      </c>
      <c r="BR48">
        <v>0</v>
      </c>
      <c r="BS48">
        <v>1</v>
      </c>
      <c r="BT48">
        <v>1</v>
      </c>
      <c r="BU48">
        <v>1</v>
      </c>
      <c r="BV48">
        <v>1</v>
      </c>
      <c r="BW48">
        <v>1</v>
      </c>
      <c r="BX48">
        <v>1</v>
      </c>
      <c r="BY48" t="s">
        <v>6</v>
      </c>
      <c r="BZ48">
        <v>0</v>
      </c>
      <c r="CA48">
        <v>0</v>
      </c>
      <c r="CB48" t="s">
        <v>6</v>
      </c>
      <c r="CE48">
        <v>0</v>
      </c>
      <c r="CF48">
        <v>0</v>
      </c>
      <c r="CG48">
        <v>0</v>
      </c>
      <c r="CM48">
        <v>0</v>
      </c>
      <c r="CN48" t="s">
        <v>6</v>
      </c>
      <c r="CO48">
        <v>0</v>
      </c>
      <c r="CP48">
        <f t="shared" si="64"/>
        <v>11</v>
      </c>
      <c r="CQ48">
        <f t="shared" si="65"/>
        <v>14.893199999999998</v>
      </c>
      <c r="CR48">
        <f t="shared" si="66"/>
        <v>0</v>
      </c>
      <c r="CS48">
        <f t="shared" si="67"/>
        <v>0</v>
      </c>
      <c r="CT48">
        <f t="shared" si="68"/>
        <v>0</v>
      </c>
      <c r="CU48">
        <f t="shared" si="69"/>
        <v>0</v>
      </c>
      <c r="CV48">
        <f t="shared" si="70"/>
        <v>0</v>
      </c>
      <c r="CW48">
        <f t="shared" si="71"/>
        <v>0</v>
      </c>
      <c r="CX48">
        <f t="shared" si="72"/>
        <v>0</v>
      </c>
      <c r="CY48">
        <f>(S48+R48)*(BZ48/100)</f>
        <v>0</v>
      </c>
      <c r="CZ48">
        <f>(S48+R48)*(CA48/100)</f>
        <v>0</v>
      </c>
      <c r="DC48" t="s">
        <v>6</v>
      </c>
      <c r="DD48" t="s">
        <v>6</v>
      </c>
      <c r="DE48" t="s">
        <v>6</v>
      </c>
      <c r="DF48" t="s">
        <v>6</v>
      </c>
      <c r="DG48" t="s">
        <v>6</v>
      </c>
      <c r="DH48" t="s">
        <v>6</v>
      </c>
      <c r="DI48" t="s">
        <v>6</v>
      </c>
      <c r="DJ48" t="s">
        <v>6</v>
      </c>
      <c r="DK48" t="s">
        <v>6</v>
      </c>
      <c r="DL48" t="s">
        <v>6</v>
      </c>
      <c r="DM48" t="s">
        <v>6</v>
      </c>
      <c r="DN48">
        <v>0</v>
      </c>
      <c r="DO48">
        <v>0</v>
      </c>
      <c r="DP48">
        <v>1</v>
      </c>
      <c r="DQ48">
        <v>1</v>
      </c>
      <c r="DU48">
        <v>1007</v>
      </c>
      <c r="DV48" t="s">
        <v>75</v>
      </c>
      <c r="DW48" t="e">
        <f>'2.Лок.смета.и.Акт'!#REF!</f>
        <v>#REF!</v>
      </c>
      <c r="DX48">
        <v>1</v>
      </c>
      <c r="DZ48" t="s">
        <v>6</v>
      </c>
      <c r="EA48" t="s">
        <v>6</v>
      </c>
      <c r="EB48" t="s">
        <v>6</v>
      </c>
      <c r="EC48" t="s">
        <v>6</v>
      </c>
      <c r="EE48">
        <v>0</v>
      </c>
      <c r="EF48">
        <v>0</v>
      </c>
      <c r="EG48" t="s">
        <v>6</v>
      </c>
      <c r="EH48">
        <v>0</v>
      </c>
      <c r="EI48" t="s">
        <v>6</v>
      </c>
      <c r="EJ48">
        <v>0</v>
      </c>
      <c r="EK48">
        <v>3411</v>
      </c>
      <c r="EL48" t="s">
        <v>6</v>
      </c>
      <c r="EM48" t="s">
        <v>6</v>
      </c>
      <c r="EO48" t="s">
        <v>6</v>
      </c>
      <c r="EQ48">
        <v>0</v>
      </c>
      <c r="ER48">
        <v>14.19</v>
      </c>
      <c r="ES48">
        <v>1.97</v>
      </c>
      <c r="ET48">
        <v>0</v>
      </c>
      <c r="EU48">
        <v>0</v>
      </c>
      <c r="EV48">
        <v>0</v>
      </c>
      <c r="EW48">
        <v>0</v>
      </c>
      <c r="EX48">
        <v>0</v>
      </c>
      <c r="EZ48">
        <v>5</v>
      </c>
      <c r="FC48">
        <v>0</v>
      </c>
      <c r="FD48">
        <v>18</v>
      </c>
      <c r="FF48">
        <v>14.19</v>
      </c>
      <c r="FQ48">
        <v>0</v>
      </c>
      <c r="FR48">
        <f t="shared" si="73"/>
        <v>0</v>
      </c>
      <c r="FS48">
        <v>0</v>
      </c>
      <c r="FX48">
        <v>0</v>
      </c>
      <c r="FY48">
        <v>0</v>
      </c>
      <c r="GA48" t="s">
        <v>77</v>
      </c>
      <c r="GD48">
        <v>1</v>
      </c>
      <c r="GF48">
        <v>1444665788</v>
      </c>
      <c r="GG48">
        <v>2</v>
      </c>
      <c r="GH48">
        <v>3</v>
      </c>
      <c r="GI48">
        <v>5</v>
      </c>
      <c r="GJ48">
        <v>0</v>
      </c>
      <c r="GK48">
        <v>0</v>
      </c>
      <c r="GL48">
        <f t="shared" si="74"/>
        <v>0</v>
      </c>
      <c r="GM48">
        <f t="shared" si="75"/>
        <v>11</v>
      </c>
      <c r="GN48">
        <f t="shared" si="76"/>
        <v>11</v>
      </c>
      <c r="GO48">
        <f t="shared" si="77"/>
        <v>0</v>
      </c>
      <c r="GP48">
        <f t="shared" si="78"/>
        <v>0</v>
      </c>
      <c r="GR48">
        <v>1</v>
      </c>
      <c r="GS48">
        <v>1</v>
      </c>
      <c r="GT48">
        <v>0</v>
      </c>
      <c r="GU48" t="s">
        <v>6</v>
      </c>
      <c r="GV48">
        <f t="shared" si="79"/>
        <v>0</v>
      </c>
      <c r="GW48">
        <v>1</v>
      </c>
      <c r="GX48">
        <f t="shared" si="80"/>
        <v>0</v>
      </c>
      <c r="HA48">
        <v>0</v>
      </c>
      <c r="HB48">
        <v>0</v>
      </c>
      <c r="HC48">
        <f t="shared" si="81"/>
        <v>0</v>
      </c>
      <c r="HE48" t="s">
        <v>39</v>
      </c>
      <c r="HF48" t="s">
        <v>40</v>
      </c>
      <c r="HM48" t="s">
        <v>6</v>
      </c>
      <c r="HN48" t="s">
        <v>6</v>
      </c>
      <c r="HO48" t="s">
        <v>6</v>
      </c>
      <c r="HP48" t="s">
        <v>6</v>
      </c>
      <c r="HQ48" t="s">
        <v>6</v>
      </c>
      <c r="IF48">
        <v>-1</v>
      </c>
      <c r="IK48">
        <v>0</v>
      </c>
    </row>
    <row r="49" spans="1:255" x14ac:dyDescent="0.2">
      <c r="A49" s="2">
        <v>17</v>
      </c>
      <c r="B49" s="2">
        <v>1</v>
      </c>
      <c r="C49" s="2">
        <f>ROW(SmtRes!A51)</f>
        <v>51</v>
      </c>
      <c r="D49" s="2">
        <f>ROW(EtalonRes!A51)</f>
        <v>51</v>
      </c>
      <c r="E49" s="2" t="s">
        <v>78</v>
      </c>
      <c r="F49" s="2" t="s">
        <v>79</v>
      </c>
      <c r="G49" s="2" t="s">
        <v>80</v>
      </c>
      <c r="H49" s="2" t="s">
        <v>50</v>
      </c>
      <c r="I49" s="2">
        <f>'2.Лок.смета.и.Акт'!E32</f>
        <v>29.483000000000001</v>
      </c>
      <c r="J49" s="2">
        <v>0</v>
      </c>
      <c r="K49" s="2">
        <v>29.483000000000001</v>
      </c>
      <c r="L49" s="2"/>
      <c r="M49" s="2"/>
      <c r="N49" s="2"/>
      <c r="O49" s="2">
        <f t="shared" si="45"/>
        <v>4444</v>
      </c>
      <c r="P49" s="2">
        <f t="shared" si="46"/>
        <v>0</v>
      </c>
      <c r="Q49" s="2">
        <f t="shared" si="47"/>
        <v>241</v>
      </c>
      <c r="R49" s="2">
        <f t="shared" si="48"/>
        <v>8</v>
      </c>
      <c r="S49" s="2">
        <f t="shared" si="49"/>
        <v>4203</v>
      </c>
      <c r="T49" s="2">
        <f t="shared" si="50"/>
        <v>0</v>
      </c>
      <c r="U49" s="2">
        <f t="shared" si="51"/>
        <v>432.81043999999997</v>
      </c>
      <c r="V49" s="2">
        <f t="shared" si="52"/>
        <v>0.58966000000000007</v>
      </c>
      <c r="W49" s="2">
        <f t="shared" si="53"/>
        <v>0</v>
      </c>
      <c r="X49" s="2">
        <f t="shared" si="54"/>
        <v>4422</v>
      </c>
      <c r="Y49" s="2">
        <f t="shared" si="55"/>
        <v>2316</v>
      </c>
      <c r="Z49" s="2"/>
      <c r="AA49" s="2">
        <v>74242616</v>
      </c>
      <c r="AB49" s="2">
        <f t="shared" si="56"/>
        <v>150.69999999999999</v>
      </c>
      <c r="AC49" s="2">
        <f>ROUND((ES49+(SUM(SmtRes!BC43:'SmtRes'!BC51)+SUM(EtalonRes!AL43:'EtalonRes'!AL51))),2)</f>
        <v>0</v>
      </c>
      <c r="AD49" s="2">
        <f>ROUND((((ET49)-(EU49))+AE49),2)</f>
        <v>8.16</v>
      </c>
      <c r="AE49" s="2">
        <f t="shared" si="58"/>
        <v>0.26</v>
      </c>
      <c r="AF49" s="2">
        <f t="shared" si="59"/>
        <v>142.54</v>
      </c>
      <c r="AG49" s="2">
        <f t="shared" si="60"/>
        <v>0</v>
      </c>
      <c r="AH49" s="2">
        <f t="shared" si="61"/>
        <v>14.68</v>
      </c>
      <c r="AI49" s="2">
        <f t="shared" si="62"/>
        <v>0.02</v>
      </c>
      <c r="AJ49" s="2">
        <f t="shared" si="63"/>
        <v>0</v>
      </c>
      <c r="AK49" s="2">
        <v>325.91000000000003</v>
      </c>
      <c r="AL49" s="2">
        <v>175.21</v>
      </c>
      <c r="AM49" s="2">
        <v>8.16</v>
      </c>
      <c r="AN49" s="2">
        <v>0.26</v>
      </c>
      <c r="AO49" s="2">
        <v>142.54</v>
      </c>
      <c r="AP49" s="2">
        <v>0</v>
      </c>
      <c r="AQ49" s="2">
        <v>14.68</v>
      </c>
      <c r="AR49" s="2">
        <v>0.02</v>
      </c>
      <c r="AS49" s="2">
        <v>0</v>
      </c>
      <c r="AT49" s="2">
        <v>105</v>
      </c>
      <c r="AU49" s="2">
        <v>55</v>
      </c>
      <c r="AV49" s="2">
        <v>1</v>
      </c>
      <c r="AW49" s="2">
        <v>1</v>
      </c>
      <c r="AX49" s="2"/>
      <c r="AY49" s="2"/>
      <c r="AZ49" s="2">
        <v>1</v>
      </c>
      <c r="BA49" s="2">
        <v>1</v>
      </c>
      <c r="BB49" s="2">
        <v>1</v>
      </c>
      <c r="BC49" s="2">
        <v>1</v>
      </c>
      <c r="BD49" s="2" t="s">
        <v>6</v>
      </c>
      <c r="BE49" s="2" t="s">
        <v>6</v>
      </c>
      <c r="BF49" s="2" t="s">
        <v>6</v>
      </c>
      <c r="BG49" s="2" t="s">
        <v>6</v>
      </c>
      <c r="BH49" s="2">
        <v>0</v>
      </c>
      <c r="BI49" s="2">
        <v>1</v>
      </c>
      <c r="BJ49" s="2" t="s">
        <v>81</v>
      </c>
      <c r="BK49" s="2"/>
      <c r="BL49" s="2"/>
      <c r="BM49" s="2">
        <v>24</v>
      </c>
      <c r="BN49" s="2">
        <v>0</v>
      </c>
      <c r="BO49" s="2" t="s">
        <v>6</v>
      </c>
      <c r="BP49" s="2">
        <v>0</v>
      </c>
      <c r="BQ49" s="2">
        <v>2</v>
      </c>
      <c r="BR49" s="2">
        <v>0</v>
      </c>
      <c r="BS49" s="2">
        <v>1</v>
      </c>
      <c r="BT49" s="2">
        <v>1</v>
      </c>
      <c r="BU49" s="2">
        <v>1</v>
      </c>
      <c r="BV49" s="2">
        <v>1</v>
      </c>
      <c r="BW49" s="2">
        <v>1</v>
      </c>
      <c r="BX49" s="2">
        <v>1</v>
      </c>
      <c r="BY49" s="2" t="s">
        <v>6</v>
      </c>
      <c r="BZ49" s="2">
        <v>105</v>
      </c>
      <c r="CA49" s="2">
        <v>55</v>
      </c>
      <c r="CB49" s="2" t="s">
        <v>6</v>
      </c>
      <c r="CC49" s="2"/>
      <c r="CD49" s="2"/>
      <c r="CE49" s="2">
        <v>0</v>
      </c>
      <c r="CF49" s="2">
        <v>0</v>
      </c>
      <c r="CG49" s="2">
        <v>0</v>
      </c>
      <c r="CH49" s="2"/>
      <c r="CI49" s="2"/>
      <c r="CJ49" s="2"/>
      <c r="CK49" s="2"/>
      <c r="CL49" s="2"/>
      <c r="CM49" s="2">
        <v>0</v>
      </c>
      <c r="CN49" s="2" t="s">
        <v>6</v>
      </c>
      <c r="CO49" s="2">
        <v>0</v>
      </c>
      <c r="CP49" s="2">
        <f t="shared" si="64"/>
        <v>4444</v>
      </c>
      <c r="CQ49" s="2">
        <f t="shared" si="65"/>
        <v>0</v>
      </c>
      <c r="CR49" s="2">
        <f t="shared" si="66"/>
        <v>8.16</v>
      </c>
      <c r="CS49" s="2">
        <f t="shared" si="67"/>
        <v>0.26</v>
      </c>
      <c r="CT49" s="2">
        <f t="shared" si="68"/>
        <v>142.54</v>
      </c>
      <c r="CU49" s="2">
        <f t="shared" si="69"/>
        <v>0</v>
      </c>
      <c r="CV49" s="2">
        <f t="shared" si="70"/>
        <v>14.68</v>
      </c>
      <c r="CW49" s="2">
        <f t="shared" si="71"/>
        <v>0.02</v>
      </c>
      <c r="CX49" s="2">
        <f t="shared" si="72"/>
        <v>0</v>
      </c>
      <c r="CY49" s="2">
        <f>(((S49+R49)*AT49)/100)</f>
        <v>4421.55</v>
      </c>
      <c r="CZ49" s="2">
        <f>(((S49+R49)*AU49)/100)</f>
        <v>2316.0500000000002</v>
      </c>
      <c r="DA49" s="2"/>
      <c r="DB49" s="2"/>
      <c r="DC49" s="2" t="s">
        <v>6</v>
      </c>
      <c r="DD49" s="2" t="s">
        <v>6</v>
      </c>
      <c r="DE49" s="2" t="s">
        <v>6</v>
      </c>
      <c r="DF49" s="2" t="s">
        <v>6</v>
      </c>
      <c r="DG49" s="2" t="s">
        <v>6</v>
      </c>
      <c r="DH49" s="2" t="s">
        <v>6</v>
      </c>
      <c r="DI49" s="2" t="s">
        <v>6</v>
      </c>
      <c r="DJ49" s="2" t="s">
        <v>6</v>
      </c>
      <c r="DK49" s="2" t="s">
        <v>6</v>
      </c>
      <c r="DL49" s="2" t="s">
        <v>6</v>
      </c>
      <c r="DM49" s="2" t="s">
        <v>6</v>
      </c>
      <c r="DN49" s="2">
        <v>0</v>
      </c>
      <c r="DO49" s="2">
        <v>0</v>
      </c>
      <c r="DP49" s="2">
        <v>1</v>
      </c>
      <c r="DQ49" s="2">
        <v>1</v>
      </c>
      <c r="DR49" s="2"/>
      <c r="DS49" s="2"/>
      <c r="DT49" s="2"/>
      <c r="DU49" s="2">
        <v>1005</v>
      </c>
      <c r="DV49" s="2" t="s">
        <v>50</v>
      </c>
      <c r="DW49" s="2" t="s">
        <v>50</v>
      </c>
      <c r="DX49" s="2">
        <v>100</v>
      </c>
      <c r="DY49" s="2"/>
      <c r="DZ49" s="2" t="s">
        <v>6</v>
      </c>
      <c r="EA49" s="2" t="s">
        <v>6</v>
      </c>
      <c r="EB49" s="2" t="s">
        <v>6</v>
      </c>
      <c r="EC49" s="2" t="s">
        <v>6</v>
      </c>
      <c r="ED49" s="2"/>
      <c r="EE49" s="2">
        <v>54328923</v>
      </c>
      <c r="EF49" s="2">
        <v>2</v>
      </c>
      <c r="EG49" s="2" t="s">
        <v>25</v>
      </c>
      <c r="EH49" s="2">
        <v>0</v>
      </c>
      <c r="EI49" s="2" t="s">
        <v>6</v>
      </c>
      <c r="EJ49" s="2">
        <v>1</v>
      </c>
      <c r="EK49" s="2">
        <v>24</v>
      </c>
      <c r="EL49" s="2" t="s">
        <v>26</v>
      </c>
      <c r="EM49" s="2" t="s">
        <v>52</v>
      </c>
      <c r="EN49" s="2"/>
      <c r="EO49" s="2" t="s">
        <v>6</v>
      </c>
      <c r="EP49" s="2"/>
      <c r="EQ49" s="2">
        <v>131072</v>
      </c>
      <c r="ER49" s="2">
        <v>325.91000000000003</v>
      </c>
      <c r="ES49" s="2">
        <v>175.21</v>
      </c>
      <c r="ET49" s="2">
        <v>8.16</v>
      </c>
      <c r="EU49" s="2">
        <v>0.26</v>
      </c>
      <c r="EV49" s="2">
        <v>142.54</v>
      </c>
      <c r="EW49" s="2">
        <v>14.68</v>
      </c>
      <c r="EX49" s="2">
        <v>0.02</v>
      </c>
      <c r="EY49" s="2">
        <v>1</v>
      </c>
      <c r="EZ49" s="2"/>
      <c r="FA49" s="2"/>
      <c r="FB49" s="2"/>
      <c r="FC49" s="2"/>
      <c r="FD49" s="2"/>
      <c r="FE49" s="2"/>
      <c r="FF49" s="2"/>
      <c r="FG49" s="2"/>
      <c r="FH49" s="2"/>
      <c r="FI49" s="2"/>
      <c r="FJ49" s="2"/>
      <c r="FK49" s="2"/>
      <c r="FL49" s="2"/>
      <c r="FM49" s="2"/>
      <c r="FN49" s="2"/>
      <c r="FO49" s="2"/>
      <c r="FP49" s="2"/>
      <c r="FQ49" s="2">
        <v>0</v>
      </c>
      <c r="FR49" s="2">
        <f t="shared" si="73"/>
        <v>0</v>
      </c>
      <c r="FS49" s="2">
        <v>0</v>
      </c>
      <c r="FT49" s="2"/>
      <c r="FU49" s="2"/>
      <c r="FV49" s="2"/>
      <c r="FW49" s="2"/>
      <c r="FX49" s="2">
        <v>105</v>
      </c>
      <c r="FY49" s="2">
        <v>55</v>
      </c>
      <c r="FZ49" s="2"/>
      <c r="GA49" s="2" t="s">
        <v>6</v>
      </c>
      <c r="GB49" s="2"/>
      <c r="GC49" s="2"/>
      <c r="GD49" s="2">
        <v>1</v>
      </c>
      <c r="GE49" s="2"/>
      <c r="GF49" s="2">
        <v>-1873536957</v>
      </c>
      <c r="GG49" s="2">
        <v>2</v>
      </c>
      <c r="GH49" s="2">
        <v>1</v>
      </c>
      <c r="GI49" s="2">
        <v>-2</v>
      </c>
      <c r="GJ49" s="2">
        <v>0</v>
      </c>
      <c r="GK49" s="2">
        <v>0</v>
      </c>
      <c r="GL49" s="2">
        <f t="shared" si="74"/>
        <v>0</v>
      </c>
      <c r="GM49" s="2">
        <f t="shared" si="75"/>
        <v>11182</v>
      </c>
      <c r="GN49" s="2">
        <f t="shared" si="76"/>
        <v>11182</v>
      </c>
      <c r="GO49" s="2">
        <f t="shared" si="77"/>
        <v>0</v>
      </c>
      <c r="GP49" s="2">
        <f t="shared" si="78"/>
        <v>0</v>
      </c>
      <c r="GQ49" s="2"/>
      <c r="GR49" s="2">
        <v>0</v>
      </c>
      <c r="GS49" s="2">
        <v>3</v>
      </c>
      <c r="GT49" s="2">
        <v>0</v>
      </c>
      <c r="GU49" s="2" t="s">
        <v>6</v>
      </c>
      <c r="GV49" s="2">
        <f t="shared" si="79"/>
        <v>0</v>
      </c>
      <c r="GW49" s="2">
        <v>1</v>
      </c>
      <c r="GX49" s="2">
        <f t="shared" si="80"/>
        <v>0</v>
      </c>
      <c r="GY49" s="2"/>
      <c r="GZ49" s="2"/>
      <c r="HA49" s="2">
        <v>0</v>
      </c>
      <c r="HB49" s="2">
        <v>0</v>
      </c>
      <c r="HC49" s="2">
        <f t="shared" si="81"/>
        <v>0</v>
      </c>
      <c r="HD49" s="2"/>
      <c r="HE49" s="2" t="s">
        <v>6</v>
      </c>
      <c r="HF49" s="2" t="s">
        <v>6</v>
      </c>
      <c r="HG49" s="2"/>
      <c r="HH49" s="2"/>
      <c r="HI49" s="2"/>
      <c r="HJ49" s="2"/>
      <c r="HK49" s="2"/>
      <c r="HL49" s="2"/>
      <c r="HM49" s="2" t="s">
        <v>6</v>
      </c>
      <c r="HN49" s="2" t="s">
        <v>6</v>
      </c>
      <c r="HO49" s="2" t="s">
        <v>6</v>
      </c>
      <c r="HP49" s="2" t="s">
        <v>6</v>
      </c>
      <c r="HQ49" s="2" t="s">
        <v>6</v>
      </c>
      <c r="HR49" s="2"/>
      <c r="HS49" s="2"/>
      <c r="HT49" s="2"/>
      <c r="HU49" s="2"/>
      <c r="HV49" s="2"/>
      <c r="HW49" s="2"/>
      <c r="HX49" s="2"/>
      <c r="HY49" s="2"/>
      <c r="HZ49" s="2"/>
      <c r="IA49" s="2"/>
      <c r="IB49" s="2"/>
      <c r="IC49" s="2"/>
      <c r="ID49" s="2"/>
      <c r="IE49" s="2"/>
      <c r="IF49" s="2">
        <v>-1</v>
      </c>
      <c r="IG49" s="2"/>
      <c r="IH49" s="2"/>
      <c r="II49" s="2"/>
      <c r="IJ49" s="2"/>
      <c r="IK49" s="2">
        <v>0</v>
      </c>
      <c r="IL49" s="2"/>
      <c r="IM49" s="2"/>
      <c r="IN49" s="2"/>
      <c r="IO49" s="2"/>
      <c r="IP49" s="2"/>
      <c r="IQ49" s="2"/>
      <c r="IR49" s="2"/>
      <c r="IS49" s="2"/>
      <c r="IT49" s="2"/>
      <c r="IU49" s="2"/>
    </row>
    <row r="50" spans="1:255" x14ac:dyDescent="0.2">
      <c r="A50">
        <v>17</v>
      </c>
      <c r="B50">
        <v>1</v>
      </c>
      <c r="C50">
        <f>ROW(SmtRes!A60)</f>
        <v>60</v>
      </c>
      <c r="D50">
        <f>ROW(EtalonRes!A60)</f>
        <v>60</v>
      </c>
      <c r="E50" t="s">
        <v>78</v>
      </c>
      <c r="F50" t="s">
        <v>79</v>
      </c>
      <c r="G50" t="s">
        <v>80</v>
      </c>
      <c r="H50" t="s">
        <v>50</v>
      </c>
      <c r="I50">
        <f>'2.Лок.смета.и.Акт'!E32</f>
        <v>29.483000000000001</v>
      </c>
      <c r="J50">
        <v>0</v>
      </c>
      <c r="K50">
        <v>29.483000000000001</v>
      </c>
      <c r="O50">
        <f t="shared" si="45"/>
        <v>148479</v>
      </c>
      <c r="P50">
        <f t="shared" si="46"/>
        <v>0</v>
      </c>
      <c r="Q50">
        <f t="shared" si="47"/>
        <v>3072</v>
      </c>
      <c r="R50">
        <f t="shared" si="48"/>
        <v>231</v>
      </c>
      <c r="S50">
        <f t="shared" si="49"/>
        <v>145407</v>
      </c>
      <c r="T50">
        <f t="shared" si="50"/>
        <v>0</v>
      </c>
      <c r="U50" t="e">
        <f t="shared" si="51"/>
        <v>#REF!</v>
      </c>
      <c r="V50">
        <f t="shared" si="52"/>
        <v>0.58966000000000007</v>
      </c>
      <c r="W50">
        <f t="shared" si="53"/>
        <v>0</v>
      </c>
      <c r="X50" t="e">
        <f t="shared" si="54"/>
        <v>#REF!</v>
      </c>
      <c r="Y50" t="e">
        <f t="shared" si="55"/>
        <v>#REF!</v>
      </c>
      <c r="AA50">
        <v>74242617</v>
      </c>
      <c r="AB50">
        <f t="shared" si="56"/>
        <v>150.69999999999999</v>
      </c>
      <c r="AC50">
        <f>ROUND((ES50+(SUM(SmtRes!BC52:'SmtRes'!BC60)+SUM(EtalonRes!AL52:'EtalonRes'!AL60))),2)</f>
        <v>0</v>
      </c>
      <c r="AD50">
        <f>ROUND((((ET50)-(EU50))+AE50),2)</f>
        <v>8.16</v>
      </c>
      <c r="AE50">
        <f t="shared" si="58"/>
        <v>0.26</v>
      </c>
      <c r="AF50">
        <f t="shared" si="59"/>
        <v>142.54</v>
      </c>
      <c r="AG50">
        <f t="shared" si="60"/>
        <v>0</v>
      </c>
      <c r="AH50" t="e">
        <f t="shared" si="61"/>
        <v>#REF!</v>
      </c>
      <c r="AI50">
        <f t="shared" si="62"/>
        <v>0.02</v>
      </c>
      <c r="AJ50">
        <f t="shared" si="63"/>
        <v>0</v>
      </c>
      <c r="AK50">
        <f>AL50+AM50+AO50</f>
        <v>325.90999999999997</v>
      </c>
      <c r="AL50">
        <v>175.21</v>
      </c>
      <c r="AM50" s="76">
        <f>'1.Лок.смета.и.Акт'!F103</f>
        <v>8.16</v>
      </c>
      <c r="AN50" s="76">
        <f>'1.Лок.смета.и.Акт'!F104</f>
        <v>0.26</v>
      </c>
      <c r="AO50" s="76">
        <f>'1.Лок.смета.и.Акт'!F102</f>
        <v>142.54</v>
      </c>
      <c r="AP50">
        <v>0</v>
      </c>
      <c r="AQ50" t="e">
        <f>'2.Лок.смета.и.Акт'!#REF!</f>
        <v>#REF!</v>
      </c>
      <c r="AR50">
        <v>0.02</v>
      </c>
      <c r="AS50">
        <v>0</v>
      </c>
      <c r="AT50">
        <v>105</v>
      </c>
      <c r="AU50">
        <v>55</v>
      </c>
      <c r="AV50">
        <v>1</v>
      </c>
      <c r="AW50">
        <v>1</v>
      </c>
      <c r="AZ50">
        <v>1</v>
      </c>
      <c r="BA50">
        <f>'1.Лок.смета.и.Акт'!J102</f>
        <v>34.6</v>
      </c>
      <c r="BB50">
        <f>'1.Лок.смета.и.Акт'!J103</f>
        <v>12.77</v>
      </c>
      <c r="BC50">
        <v>7.56</v>
      </c>
      <c r="BD50" t="s">
        <v>6</v>
      </c>
      <c r="BE50" t="s">
        <v>6</v>
      </c>
      <c r="BF50" t="s">
        <v>6</v>
      </c>
      <c r="BG50" t="s">
        <v>6</v>
      </c>
      <c r="BH50">
        <v>0</v>
      </c>
      <c r="BI50">
        <v>1</v>
      </c>
      <c r="BJ50" t="s">
        <v>81</v>
      </c>
      <c r="BM50">
        <v>24</v>
      </c>
      <c r="BN50">
        <v>0</v>
      </c>
      <c r="BO50" t="s">
        <v>79</v>
      </c>
      <c r="BP50">
        <v>1</v>
      </c>
      <c r="BQ50">
        <v>2</v>
      </c>
      <c r="BR50">
        <v>0</v>
      </c>
      <c r="BS50">
        <f>'1.Лок.смета.и.Акт'!J104</f>
        <v>30.1</v>
      </c>
      <c r="BT50">
        <v>1</v>
      </c>
      <c r="BU50">
        <v>1</v>
      </c>
      <c r="BV50">
        <v>1</v>
      </c>
      <c r="BW50">
        <v>1</v>
      </c>
      <c r="BX50">
        <v>1</v>
      </c>
      <c r="BY50" t="s">
        <v>6</v>
      </c>
      <c r="BZ50" t="e">
        <f>'2.Лок.смета.и.Акт'!#REF!</f>
        <v>#REF!</v>
      </c>
      <c r="CA50" t="e">
        <f>'2.Лок.смета.и.Акт'!#REF!</f>
        <v>#REF!</v>
      </c>
      <c r="CB50" t="s">
        <v>6</v>
      </c>
      <c r="CE50">
        <v>0</v>
      </c>
      <c r="CF50">
        <v>0</v>
      </c>
      <c r="CG50">
        <v>0</v>
      </c>
      <c r="CM50">
        <v>0</v>
      </c>
      <c r="CN50" t="s">
        <v>6</v>
      </c>
      <c r="CO50">
        <v>0</v>
      </c>
      <c r="CP50">
        <f t="shared" si="64"/>
        <v>148479</v>
      </c>
      <c r="CQ50">
        <f t="shared" si="65"/>
        <v>0</v>
      </c>
      <c r="CR50">
        <f t="shared" si="66"/>
        <v>104.2032</v>
      </c>
      <c r="CS50">
        <f t="shared" si="67"/>
        <v>7.8260000000000005</v>
      </c>
      <c r="CT50">
        <f t="shared" si="68"/>
        <v>4931.884</v>
      </c>
      <c r="CU50">
        <f t="shared" si="69"/>
        <v>0</v>
      </c>
      <c r="CV50" t="e">
        <f t="shared" si="70"/>
        <v>#REF!</v>
      </c>
      <c r="CW50">
        <f t="shared" si="71"/>
        <v>0.02</v>
      </c>
      <c r="CX50">
        <f t="shared" si="72"/>
        <v>0</v>
      </c>
      <c r="CY50" t="e">
        <f>(S50+R50)*(BZ50/100)</f>
        <v>#REF!</v>
      </c>
      <c r="CZ50" t="e">
        <f>(S50+R50)*(CA50/100)</f>
        <v>#REF!</v>
      </c>
      <c r="DC50" t="s">
        <v>6</v>
      </c>
      <c r="DD50" t="s">
        <v>6</v>
      </c>
      <c r="DE50" t="s">
        <v>6</v>
      </c>
      <c r="DF50" t="s">
        <v>6</v>
      </c>
      <c r="DG50" t="s">
        <v>6</v>
      </c>
      <c r="DH50" t="s">
        <v>6</v>
      </c>
      <c r="DI50" t="s">
        <v>6</v>
      </c>
      <c r="DJ50" t="s">
        <v>6</v>
      </c>
      <c r="DK50" t="s">
        <v>6</v>
      </c>
      <c r="DL50" t="s">
        <v>6</v>
      </c>
      <c r="DM50" t="s">
        <v>6</v>
      </c>
      <c r="DN50">
        <f>'1.Лок.смета.и.Акт'!E105</f>
        <v>105</v>
      </c>
      <c r="DO50">
        <f>'1.Лок.смета.и.Акт'!E106</f>
        <v>55</v>
      </c>
      <c r="DP50">
        <v>1</v>
      </c>
      <c r="DQ50">
        <v>1</v>
      </c>
      <c r="DU50">
        <v>1005</v>
      </c>
      <c r="DV50" t="s">
        <v>50</v>
      </c>
      <c r="DW50" t="str">
        <f>'2.Лок.смета.и.Акт'!D32</f>
        <v>100 м2</v>
      </c>
      <c r="DX50">
        <v>100</v>
      </c>
      <c r="DZ50" t="s">
        <v>6</v>
      </c>
      <c r="EA50" t="s">
        <v>6</v>
      </c>
      <c r="EB50" t="s">
        <v>6</v>
      </c>
      <c r="EC50" t="s">
        <v>6</v>
      </c>
      <c r="EE50">
        <v>54328923</v>
      </c>
      <c r="EF50">
        <v>2</v>
      </c>
      <c r="EG50" t="s">
        <v>25</v>
      </c>
      <c r="EH50">
        <v>0</v>
      </c>
      <c r="EI50" t="s">
        <v>6</v>
      </c>
      <c r="EJ50">
        <v>1</v>
      </c>
      <c r="EK50">
        <v>24</v>
      </c>
      <c r="EL50" t="s">
        <v>26</v>
      </c>
      <c r="EM50" t="s">
        <v>52</v>
      </c>
      <c r="EO50" t="s">
        <v>6</v>
      </c>
      <c r="EQ50">
        <v>131072</v>
      </c>
      <c r="ER50">
        <f>ES50+ET50+EV50</f>
        <v>325.90999999999997</v>
      </c>
      <c r="ES50">
        <v>175.21</v>
      </c>
      <c r="ET50" s="76">
        <f>'1.Лок.смета.и.Акт'!F103</f>
        <v>8.16</v>
      </c>
      <c r="EU50" s="76">
        <f>'1.Лок.смета.и.Акт'!F104</f>
        <v>0.26</v>
      </c>
      <c r="EV50" s="76">
        <f>'1.Лок.смета.и.Акт'!F102</f>
        <v>142.54</v>
      </c>
      <c r="EW50" t="e">
        <f>'2.Лок.смета.и.Акт'!#REF!</f>
        <v>#REF!</v>
      </c>
      <c r="EX50">
        <v>0.02</v>
      </c>
      <c r="EY50">
        <v>1</v>
      </c>
      <c r="FQ50">
        <v>0</v>
      </c>
      <c r="FR50">
        <f t="shared" si="73"/>
        <v>0</v>
      </c>
      <c r="FS50">
        <v>0</v>
      </c>
      <c r="FX50">
        <v>105</v>
      </c>
      <c r="FY50">
        <v>55</v>
      </c>
      <c r="GA50" t="s">
        <v>6</v>
      </c>
      <c r="GD50">
        <v>1</v>
      </c>
      <c r="GF50">
        <v>-1873536957</v>
      </c>
      <c r="GG50">
        <v>2</v>
      </c>
      <c r="GH50">
        <v>1</v>
      </c>
      <c r="GI50">
        <v>2</v>
      </c>
      <c r="GJ50">
        <v>0</v>
      </c>
      <c r="GK50">
        <v>0</v>
      </c>
      <c r="GL50">
        <f t="shared" si="74"/>
        <v>0</v>
      </c>
      <c r="GM50" t="e">
        <f t="shared" si="75"/>
        <v>#REF!</v>
      </c>
      <c r="GN50" t="e">
        <f t="shared" si="76"/>
        <v>#REF!</v>
      </c>
      <c r="GO50">
        <f t="shared" si="77"/>
        <v>0</v>
      </c>
      <c r="GP50">
        <f t="shared" si="78"/>
        <v>0</v>
      </c>
      <c r="GR50">
        <v>0</v>
      </c>
      <c r="GS50">
        <v>0</v>
      </c>
      <c r="GT50">
        <v>0</v>
      </c>
      <c r="GU50" t="s">
        <v>6</v>
      </c>
      <c r="GV50">
        <f t="shared" si="79"/>
        <v>0</v>
      </c>
      <c r="GW50">
        <v>1009.6</v>
      </c>
      <c r="GX50">
        <f t="shared" si="80"/>
        <v>0</v>
      </c>
      <c r="HA50">
        <v>0</v>
      </c>
      <c r="HB50">
        <v>0</v>
      </c>
      <c r="HC50">
        <f t="shared" si="81"/>
        <v>0</v>
      </c>
      <c r="HE50" t="s">
        <v>6</v>
      </c>
      <c r="HF50" t="s">
        <v>6</v>
      </c>
      <c r="HM50" t="s">
        <v>6</v>
      </c>
      <c r="HN50" t="s">
        <v>6</v>
      </c>
      <c r="HO50" t="s">
        <v>6</v>
      </c>
      <c r="HP50" t="s">
        <v>6</v>
      </c>
      <c r="HQ50" t="s">
        <v>6</v>
      </c>
      <c r="IF50">
        <v>-1</v>
      </c>
      <c r="IK50">
        <v>0</v>
      </c>
    </row>
    <row r="51" spans="1:255" x14ac:dyDescent="0.2">
      <c r="A51" s="2">
        <v>18</v>
      </c>
      <c r="B51" s="2">
        <v>1</v>
      </c>
      <c r="C51" s="2">
        <v>48</v>
      </c>
      <c r="D51" s="2"/>
      <c r="E51" s="2" t="s">
        <v>82</v>
      </c>
      <c r="F51" s="2" t="s">
        <v>61</v>
      </c>
      <c r="G51" s="2" t="s">
        <v>62</v>
      </c>
      <c r="H51" s="2" t="s">
        <v>63</v>
      </c>
      <c r="I51" s="2">
        <f>I49*J51</f>
        <v>0.353796</v>
      </c>
      <c r="J51" s="207">
        <f>'5.Ведомость_списания'!F41</f>
        <v>1.2E-2</v>
      </c>
      <c r="K51" s="2">
        <v>1.2E-2</v>
      </c>
      <c r="L51" s="2"/>
      <c r="M51" s="2"/>
      <c r="N51" s="2"/>
      <c r="O51" s="2">
        <f t="shared" si="45"/>
        <v>20</v>
      </c>
      <c r="P51" s="2">
        <f t="shared" si="46"/>
        <v>20</v>
      </c>
      <c r="Q51" s="2">
        <f t="shared" si="47"/>
        <v>0</v>
      </c>
      <c r="R51" s="2">
        <f t="shared" si="48"/>
        <v>0</v>
      </c>
      <c r="S51" s="2">
        <f t="shared" si="49"/>
        <v>0</v>
      </c>
      <c r="T51" s="2">
        <f t="shared" si="50"/>
        <v>0</v>
      </c>
      <c r="U51" s="2">
        <f t="shared" si="51"/>
        <v>0</v>
      </c>
      <c r="V51" s="2">
        <f t="shared" si="52"/>
        <v>0</v>
      </c>
      <c r="W51" s="2">
        <f t="shared" si="53"/>
        <v>0</v>
      </c>
      <c r="X51" s="2">
        <f t="shared" si="54"/>
        <v>0</v>
      </c>
      <c r="Y51" s="2">
        <f t="shared" si="55"/>
        <v>0</v>
      </c>
      <c r="Z51" s="2"/>
      <c r="AA51" s="2">
        <v>74242616</v>
      </c>
      <c r="AB51" s="2">
        <f t="shared" si="56"/>
        <v>57.14</v>
      </c>
      <c r="AC51" s="2">
        <f t="shared" ref="AC51:AD58" si="83">ROUND((ES51),2)</f>
        <v>57.14</v>
      </c>
      <c r="AD51" s="2">
        <f t="shared" si="83"/>
        <v>0</v>
      </c>
      <c r="AE51" s="2">
        <f t="shared" si="58"/>
        <v>0</v>
      </c>
      <c r="AF51" s="2">
        <f t="shared" si="59"/>
        <v>0</v>
      </c>
      <c r="AG51" s="2">
        <f t="shared" si="60"/>
        <v>0</v>
      </c>
      <c r="AH51" s="2">
        <f t="shared" si="61"/>
        <v>0</v>
      </c>
      <c r="AI51" s="2">
        <f t="shared" si="62"/>
        <v>0</v>
      </c>
      <c r="AJ51" s="2">
        <f t="shared" si="63"/>
        <v>0</v>
      </c>
      <c r="AK51" s="2">
        <v>57.14</v>
      </c>
      <c r="AL51" s="111">
        <f>'1.Лок.смета.и.Акт'!F108</f>
        <v>57.14</v>
      </c>
      <c r="AM51" s="2">
        <v>0</v>
      </c>
      <c r="AN51" s="2">
        <v>0</v>
      </c>
      <c r="AO51" s="2">
        <v>0</v>
      </c>
      <c r="AP51" s="2">
        <v>0</v>
      </c>
      <c r="AQ51" s="2">
        <v>0</v>
      </c>
      <c r="AR51" s="2">
        <v>0</v>
      </c>
      <c r="AS51" s="2">
        <v>0</v>
      </c>
      <c r="AT51" s="2">
        <v>0</v>
      </c>
      <c r="AU51" s="2">
        <v>0</v>
      </c>
      <c r="AV51" s="2">
        <v>1</v>
      </c>
      <c r="AW51" s="2">
        <v>1</v>
      </c>
      <c r="AX51" s="2"/>
      <c r="AY51" s="2"/>
      <c r="AZ51" s="2">
        <v>1</v>
      </c>
      <c r="BA51" s="2">
        <v>1</v>
      </c>
      <c r="BB51" s="2">
        <v>1</v>
      </c>
      <c r="BC51" s="2">
        <v>1</v>
      </c>
      <c r="BD51" s="2" t="s">
        <v>6</v>
      </c>
      <c r="BE51" s="2" t="s">
        <v>6</v>
      </c>
      <c r="BF51" s="2" t="s">
        <v>6</v>
      </c>
      <c r="BG51" s="2" t="s">
        <v>6</v>
      </c>
      <c r="BH51" s="2">
        <v>3</v>
      </c>
      <c r="BI51" s="2">
        <v>0</v>
      </c>
      <c r="BJ51" s="2" t="s">
        <v>64</v>
      </c>
      <c r="BK51" s="2"/>
      <c r="BL51" s="2"/>
      <c r="BM51" s="2">
        <v>3101</v>
      </c>
      <c r="BN51" s="2">
        <v>0</v>
      </c>
      <c r="BO51" s="2" t="s">
        <v>6</v>
      </c>
      <c r="BP51" s="2">
        <v>0</v>
      </c>
      <c r="BQ51" s="2">
        <v>0</v>
      </c>
      <c r="BR51" s="2">
        <v>0</v>
      </c>
      <c r="BS51" s="2">
        <v>1</v>
      </c>
      <c r="BT51" s="2">
        <v>1</v>
      </c>
      <c r="BU51" s="2">
        <v>1</v>
      </c>
      <c r="BV51" s="2">
        <v>1</v>
      </c>
      <c r="BW51" s="2">
        <v>1</v>
      </c>
      <c r="BX51" s="2">
        <v>1</v>
      </c>
      <c r="BY51" s="2" t="s">
        <v>6</v>
      </c>
      <c r="BZ51" s="2">
        <v>0</v>
      </c>
      <c r="CA51" s="2">
        <v>0</v>
      </c>
      <c r="CB51" s="2" t="s">
        <v>6</v>
      </c>
      <c r="CC51" s="2"/>
      <c r="CD51" s="2"/>
      <c r="CE51" s="2">
        <v>0</v>
      </c>
      <c r="CF51" s="2">
        <v>0</v>
      </c>
      <c r="CG51" s="2">
        <v>0</v>
      </c>
      <c r="CH51" s="2"/>
      <c r="CI51" s="2"/>
      <c r="CJ51" s="2"/>
      <c r="CK51" s="2"/>
      <c r="CL51" s="2"/>
      <c r="CM51" s="2">
        <v>0</v>
      </c>
      <c r="CN51" s="2" t="s">
        <v>6</v>
      </c>
      <c r="CO51" s="2">
        <v>0</v>
      </c>
      <c r="CP51" s="2">
        <f t="shared" si="64"/>
        <v>20</v>
      </c>
      <c r="CQ51" s="2">
        <f t="shared" si="65"/>
        <v>57.14</v>
      </c>
      <c r="CR51" s="2">
        <f t="shared" si="66"/>
        <v>0</v>
      </c>
      <c r="CS51" s="2">
        <f t="shared" si="67"/>
        <v>0</v>
      </c>
      <c r="CT51" s="2">
        <f t="shared" si="68"/>
        <v>0</v>
      </c>
      <c r="CU51" s="2">
        <f t="shared" si="69"/>
        <v>0</v>
      </c>
      <c r="CV51" s="2">
        <f t="shared" si="70"/>
        <v>0</v>
      </c>
      <c r="CW51" s="2">
        <f t="shared" si="71"/>
        <v>0</v>
      </c>
      <c r="CX51" s="2">
        <f t="shared" si="72"/>
        <v>0</v>
      </c>
      <c r="CY51" s="2">
        <f>0</f>
        <v>0</v>
      </c>
      <c r="CZ51" s="2">
        <f>0</f>
        <v>0</v>
      </c>
      <c r="DA51" s="2"/>
      <c r="DB51" s="2"/>
      <c r="DC51" s="2" t="s">
        <v>6</v>
      </c>
      <c r="DD51" s="2" t="s">
        <v>6</v>
      </c>
      <c r="DE51" s="2" t="s">
        <v>6</v>
      </c>
      <c r="DF51" s="2" t="s">
        <v>6</v>
      </c>
      <c r="DG51" s="2" t="s">
        <v>6</v>
      </c>
      <c r="DH51" s="2" t="s">
        <v>6</v>
      </c>
      <c r="DI51" s="2" t="s">
        <v>6</v>
      </c>
      <c r="DJ51" s="2" t="s">
        <v>6</v>
      </c>
      <c r="DK51" s="2" t="s">
        <v>6</v>
      </c>
      <c r="DL51" s="2" t="s">
        <v>6</v>
      </c>
      <c r="DM51" s="2" t="s">
        <v>6</v>
      </c>
      <c r="DN51" s="2">
        <v>0</v>
      </c>
      <c r="DO51" s="2">
        <v>0</v>
      </c>
      <c r="DP51" s="2">
        <v>1</v>
      </c>
      <c r="DQ51" s="2">
        <v>1</v>
      </c>
      <c r="DR51" s="2"/>
      <c r="DS51" s="2"/>
      <c r="DT51" s="2"/>
      <c r="DU51" s="2">
        <v>1005</v>
      </c>
      <c r="DV51" s="2" t="s">
        <v>63</v>
      </c>
      <c r="DW51" s="2" t="s">
        <v>63</v>
      </c>
      <c r="DX51" s="2">
        <v>1</v>
      </c>
      <c r="DY51" s="2"/>
      <c r="DZ51" s="2" t="s">
        <v>6</v>
      </c>
      <c r="EA51" s="2" t="s">
        <v>6</v>
      </c>
      <c r="EB51" s="2" t="s">
        <v>6</v>
      </c>
      <c r="EC51" s="2" t="s">
        <v>6</v>
      </c>
      <c r="ED51" s="2"/>
      <c r="EE51" s="2">
        <v>0</v>
      </c>
      <c r="EF51" s="2">
        <v>0</v>
      </c>
      <c r="EG51" s="2" t="s">
        <v>6</v>
      </c>
      <c r="EH51" s="2">
        <v>0</v>
      </c>
      <c r="EI51" s="2" t="s">
        <v>6</v>
      </c>
      <c r="EJ51" s="2">
        <v>0</v>
      </c>
      <c r="EK51" s="2">
        <v>3101</v>
      </c>
      <c r="EL51" s="2" t="s">
        <v>6</v>
      </c>
      <c r="EM51" s="2" t="s">
        <v>6</v>
      </c>
      <c r="EN51" s="2"/>
      <c r="EO51" s="2" t="s">
        <v>6</v>
      </c>
      <c r="EP51" s="2"/>
      <c r="EQ51" s="2">
        <v>0</v>
      </c>
      <c r="ER51" s="2">
        <v>57.14</v>
      </c>
      <c r="ES51" s="111">
        <f>'1.Лок.смета.и.Акт'!F108</f>
        <v>57.14</v>
      </c>
      <c r="ET51" s="2">
        <v>0</v>
      </c>
      <c r="EU51" s="2">
        <v>0</v>
      </c>
      <c r="EV51" s="2">
        <v>0</v>
      </c>
      <c r="EW51" s="2">
        <v>0</v>
      </c>
      <c r="EX51" s="2">
        <v>0</v>
      </c>
      <c r="EY51" s="2"/>
      <c r="EZ51" s="2"/>
      <c r="FA51" s="2"/>
      <c r="FB51" s="2"/>
      <c r="FC51" s="2"/>
      <c r="FD51" s="2"/>
      <c r="FE51" s="2"/>
      <c r="FF51" s="2"/>
      <c r="FG51" s="2"/>
      <c r="FH51" s="2"/>
      <c r="FI51" s="2"/>
      <c r="FJ51" s="2"/>
      <c r="FK51" s="2"/>
      <c r="FL51" s="2"/>
      <c r="FM51" s="2"/>
      <c r="FN51" s="2"/>
      <c r="FO51" s="2"/>
      <c r="FP51" s="2"/>
      <c r="FQ51" s="2">
        <v>0</v>
      </c>
      <c r="FR51" s="2">
        <f t="shared" si="73"/>
        <v>0</v>
      </c>
      <c r="FS51" s="2">
        <v>0</v>
      </c>
      <c r="FT51" s="2"/>
      <c r="FU51" s="2"/>
      <c r="FV51" s="2"/>
      <c r="FW51" s="2"/>
      <c r="FX51" s="2">
        <v>0</v>
      </c>
      <c r="FY51" s="2">
        <v>0</v>
      </c>
      <c r="FZ51" s="2"/>
      <c r="GA51" s="2" t="s">
        <v>6</v>
      </c>
      <c r="GB51" s="2"/>
      <c r="GC51" s="2"/>
      <c r="GD51" s="2">
        <v>1</v>
      </c>
      <c r="GE51" s="2"/>
      <c r="GF51" s="2">
        <v>-1540695423</v>
      </c>
      <c r="GG51" s="2">
        <v>2</v>
      </c>
      <c r="GH51" s="2">
        <v>1</v>
      </c>
      <c r="GI51" s="2">
        <v>-2</v>
      </c>
      <c r="GJ51" s="2">
        <v>0</v>
      </c>
      <c r="GK51" s="2">
        <v>0</v>
      </c>
      <c r="GL51" s="2">
        <f t="shared" si="74"/>
        <v>0</v>
      </c>
      <c r="GM51" s="2">
        <f t="shared" si="75"/>
        <v>20</v>
      </c>
      <c r="GN51" s="2">
        <f t="shared" si="76"/>
        <v>20</v>
      </c>
      <c r="GO51" s="2">
        <f t="shared" si="77"/>
        <v>0</v>
      </c>
      <c r="GP51" s="2">
        <f t="shared" si="78"/>
        <v>0</v>
      </c>
      <c r="GQ51" s="2"/>
      <c r="GR51" s="2">
        <v>0</v>
      </c>
      <c r="GS51" s="2">
        <v>3</v>
      </c>
      <c r="GT51" s="2">
        <v>0</v>
      </c>
      <c r="GU51" s="2" t="s">
        <v>6</v>
      </c>
      <c r="GV51" s="2">
        <f t="shared" si="79"/>
        <v>0</v>
      </c>
      <c r="GW51" s="2">
        <v>1</v>
      </c>
      <c r="GX51" s="2">
        <f t="shared" si="80"/>
        <v>0</v>
      </c>
      <c r="GY51" s="2"/>
      <c r="GZ51" s="2"/>
      <c r="HA51" s="2">
        <v>0</v>
      </c>
      <c r="HB51" s="2">
        <v>0</v>
      </c>
      <c r="HC51" s="2">
        <f t="shared" si="81"/>
        <v>0</v>
      </c>
      <c r="HD51" s="2"/>
      <c r="HE51" s="2" t="s">
        <v>6</v>
      </c>
      <c r="HF51" s="2" t="s">
        <v>6</v>
      </c>
      <c r="HG51" s="2"/>
      <c r="HH51" s="2"/>
      <c r="HI51" s="2"/>
      <c r="HJ51" s="2"/>
      <c r="HK51" s="2"/>
      <c r="HL51" s="2"/>
      <c r="HM51" s="2" t="s">
        <v>6</v>
      </c>
      <c r="HN51" s="2" t="s">
        <v>6</v>
      </c>
      <c r="HO51" s="2" t="s">
        <v>6</v>
      </c>
      <c r="HP51" s="2" t="s">
        <v>6</v>
      </c>
      <c r="HQ51" s="2" t="s">
        <v>6</v>
      </c>
      <c r="HR51" s="2"/>
      <c r="HS51" s="2"/>
      <c r="HT51" s="2"/>
      <c r="HU51" s="2"/>
      <c r="HV51" s="2"/>
      <c r="HW51" s="2"/>
      <c r="HX51" s="2"/>
      <c r="HY51" s="2"/>
      <c r="HZ51" s="2"/>
      <c r="IA51" s="2"/>
      <c r="IB51" s="2"/>
      <c r="IC51" s="2"/>
      <c r="ID51" s="2"/>
      <c r="IE51" s="2"/>
      <c r="IF51" s="2">
        <v>-1</v>
      </c>
      <c r="IG51" s="2"/>
      <c r="IH51" s="2"/>
      <c r="II51" s="2"/>
      <c r="IJ51" s="2"/>
      <c r="IK51" s="2">
        <v>0</v>
      </c>
      <c r="IL51" s="2"/>
      <c r="IM51" s="2"/>
      <c r="IN51" s="2"/>
      <c r="IO51" s="2"/>
      <c r="IP51" s="2"/>
      <c r="IQ51" s="2"/>
      <c r="IR51" s="2"/>
      <c r="IS51" s="2"/>
      <c r="IT51" s="2"/>
      <c r="IU51" s="2"/>
    </row>
    <row r="52" spans="1:255" x14ac:dyDescent="0.2">
      <c r="A52">
        <v>18</v>
      </c>
      <c r="B52">
        <v>1</v>
      </c>
      <c r="C52">
        <v>57</v>
      </c>
      <c r="E52" t="s">
        <v>82</v>
      </c>
      <c r="F52" t="e">
        <f>'2.Лок.смета.и.Акт'!#REF!</f>
        <v>#REF!</v>
      </c>
      <c r="G52" t="s">
        <v>62</v>
      </c>
      <c r="H52" t="s">
        <v>63</v>
      </c>
      <c r="I52">
        <f>I50*J52</f>
        <v>0.353796</v>
      </c>
      <c r="J52">
        <v>1.2E-2</v>
      </c>
      <c r="K52">
        <v>1.2E-2</v>
      </c>
      <c r="O52">
        <f t="shared" si="45"/>
        <v>93</v>
      </c>
      <c r="P52">
        <f t="shared" si="46"/>
        <v>93</v>
      </c>
      <c r="Q52">
        <f t="shared" si="47"/>
        <v>0</v>
      </c>
      <c r="R52">
        <f t="shared" si="48"/>
        <v>0</v>
      </c>
      <c r="S52">
        <f t="shared" si="49"/>
        <v>0</v>
      </c>
      <c r="T52">
        <f t="shared" si="50"/>
        <v>0</v>
      </c>
      <c r="U52">
        <f t="shared" si="51"/>
        <v>0</v>
      </c>
      <c r="V52">
        <f t="shared" si="52"/>
        <v>0</v>
      </c>
      <c r="W52">
        <f t="shared" si="53"/>
        <v>0</v>
      </c>
      <c r="X52">
        <f t="shared" si="54"/>
        <v>0</v>
      </c>
      <c r="Y52">
        <f t="shared" si="55"/>
        <v>0</v>
      </c>
      <c r="AA52">
        <v>74242617</v>
      </c>
      <c r="AB52">
        <f t="shared" si="56"/>
        <v>34.72</v>
      </c>
      <c r="AC52">
        <f t="shared" si="83"/>
        <v>34.72</v>
      </c>
      <c r="AD52">
        <f t="shared" si="83"/>
        <v>0</v>
      </c>
      <c r="AE52">
        <f t="shared" si="58"/>
        <v>0</v>
      </c>
      <c r="AF52">
        <f t="shared" si="59"/>
        <v>0</v>
      </c>
      <c r="AG52">
        <f t="shared" si="60"/>
        <v>0</v>
      </c>
      <c r="AH52">
        <f t="shared" si="61"/>
        <v>0</v>
      </c>
      <c r="AI52">
        <f t="shared" si="62"/>
        <v>0</v>
      </c>
      <c r="AJ52">
        <f t="shared" si="63"/>
        <v>0</v>
      </c>
      <c r="AK52">
        <v>34.72</v>
      </c>
      <c r="AL52">
        <v>34.72</v>
      </c>
      <c r="AM52">
        <v>0</v>
      </c>
      <c r="AN52">
        <v>0</v>
      </c>
      <c r="AO52">
        <v>0</v>
      </c>
      <c r="AP52">
        <v>0</v>
      </c>
      <c r="AQ52">
        <v>0</v>
      </c>
      <c r="AR52">
        <v>0</v>
      </c>
      <c r="AS52">
        <v>0</v>
      </c>
      <c r="AT52">
        <v>0</v>
      </c>
      <c r="AU52">
        <v>0</v>
      </c>
      <c r="AV52">
        <v>1</v>
      </c>
      <c r="AW52">
        <v>1</v>
      </c>
      <c r="AZ52">
        <v>1</v>
      </c>
      <c r="BA52">
        <v>1</v>
      </c>
      <c r="BB52">
        <v>1</v>
      </c>
      <c r="BC52">
        <v>7.56</v>
      </c>
      <c r="BD52" t="s">
        <v>6</v>
      </c>
      <c r="BE52" t="s">
        <v>6</v>
      </c>
      <c r="BF52" t="s">
        <v>6</v>
      </c>
      <c r="BG52" t="s">
        <v>6</v>
      </c>
      <c r="BH52">
        <v>3</v>
      </c>
      <c r="BI52">
        <v>0</v>
      </c>
      <c r="BJ52" t="s">
        <v>64</v>
      </c>
      <c r="BM52">
        <v>3101</v>
      </c>
      <c r="BN52">
        <v>0</v>
      </c>
      <c r="BO52" t="s">
        <v>6</v>
      </c>
      <c r="BP52">
        <v>0</v>
      </c>
      <c r="BQ52">
        <v>0</v>
      </c>
      <c r="BR52">
        <v>0</v>
      </c>
      <c r="BS52">
        <v>1</v>
      </c>
      <c r="BT52">
        <v>1</v>
      </c>
      <c r="BU52">
        <v>1</v>
      </c>
      <c r="BV52">
        <v>1</v>
      </c>
      <c r="BW52">
        <v>1</v>
      </c>
      <c r="BX52">
        <v>1</v>
      </c>
      <c r="BY52" t="s">
        <v>6</v>
      </c>
      <c r="BZ52">
        <v>0</v>
      </c>
      <c r="CA52">
        <v>0</v>
      </c>
      <c r="CB52" t="s">
        <v>6</v>
      </c>
      <c r="CE52">
        <v>0</v>
      </c>
      <c r="CF52">
        <v>0</v>
      </c>
      <c r="CG52">
        <v>0</v>
      </c>
      <c r="CM52">
        <v>0</v>
      </c>
      <c r="CN52" t="s">
        <v>6</v>
      </c>
      <c r="CO52">
        <v>0</v>
      </c>
      <c r="CP52">
        <f t="shared" si="64"/>
        <v>93</v>
      </c>
      <c r="CQ52">
        <f t="shared" si="65"/>
        <v>262.48319999999995</v>
      </c>
      <c r="CR52">
        <f t="shared" si="66"/>
        <v>0</v>
      </c>
      <c r="CS52">
        <f t="shared" si="67"/>
        <v>0</v>
      </c>
      <c r="CT52">
        <f t="shared" si="68"/>
        <v>0</v>
      </c>
      <c r="CU52">
        <f t="shared" si="69"/>
        <v>0</v>
      </c>
      <c r="CV52">
        <f t="shared" si="70"/>
        <v>0</v>
      </c>
      <c r="CW52">
        <f t="shared" si="71"/>
        <v>0</v>
      </c>
      <c r="CX52">
        <f t="shared" si="72"/>
        <v>0</v>
      </c>
      <c r="CY52">
        <f>(S52+R52)*(BZ52/100)</f>
        <v>0</v>
      </c>
      <c r="CZ52">
        <f>(S52+R52)*(CA52/100)</f>
        <v>0</v>
      </c>
      <c r="DC52" t="s">
        <v>6</v>
      </c>
      <c r="DD52" t="s">
        <v>6</v>
      </c>
      <c r="DE52" t="s">
        <v>6</v>
      </c>
      <c r="DF52" t="s">
        <v>6</v>
      </c>
      <c r="DG52" t="s">
        <v>6</v>
      </c>
      <c r="DH52" t="s">
        <v>6</v>
      </c>
      <c r="DI52" t="s">
        <v>6</v>
      </c>
      <c r="DJ52" t="s">
        <v>6</v>
      </c>
      <c r="DK52" t="s">
        <v>6</v>
      </c>
      <c r="DL52" t="s">
        <v>6</v>
      </c>
      <c r="DM52" t="s">
        <v>6</v>
      </c>
      <c r="DN52">
        <v>0</v>
      </c>
      <c r="DO52">
        <v>0</v>
      </c>
      <c r="DP52">
        <v>1</v>
      </c>
      <c r="DQ52">
        <v>1</v>
      </c>
      <c r="DU52">
        <v>1005</v>
      </c>
      <c r="DV52" t="s">
        <v>63</v>
      </c>
      <c r="DW52" t="e">
        <f>'2.Лок.смета.и.Акт'!#REF!</f>
        <v>#REF!</v>
      </c>
      <c r="DX52">
        <v>1</v>
      </c>
      <c r="DZ52" t="s">
        <v>6</v>
      </c>
      <c r="EA52" t="s">
        <v>6</v>
      </c>
      <c r="EB52" t="s">
        <v>6</v>
      </c>
      <c r="EC52" t="s">
        <v>6</v>
      </c>
      <c r="EE52">
        <v>0</v>
      </c>
      <c r="EF52">
        <v>0</v>
      </c>
      <c r="EG52" t="s">
        <v>6</v>
      </c>
      <c r="EH52">
        <v>0</v>
      </c>
      <c r="EI52" t="s">
        <v>6</v>
      </c>
      <c r="EJ52">
        <v>0</v>
      </c>
      <c r="EK52">
        <v>3101</v>
      </c>
      <c r="EL52" t="s">
        <v>6</v>
      </c>
      <c r="EM52" t="s">
        <v>6</v>
      </c>
      <c r="EO52" t="s">
        <v>6</v>
      </c>
      <c r="EQ52">
        <v>0</v>
      </c>
      <c r="ER52">
        <v>251.1</v>
      </c>
      <c r="ES52">
        <v>34.72</v>
      </c>
      <c r="ET52">
        <v>0</v>
      </c>
      <c r="EU52">
        <v>0</v>
      </c>
      <c r="EV52">
        <v>0</v>
      </c>
      <c r="EW52">
        <v>0</v>
      </c>
      <c r="EX52">
        <v>0</v>
      </c>
      <c r="EZ52">
        <v>5</v>
      </c>
      <c r="FC52">
        <v>0</v>
      </c>
      <c r="FD52">
        <v>18</v>
      </c>
      <c r="FF52">
        <v>251.1</v>
      </c>
      <c r="FQ52">
        <v>0</v>
      </c>
      <c r="FR52">
        <f t="shared" si="73"/>
        <v>0</v>
      </c>
      <c r="FS52">
        <v>0</v>
      </c>
      <c r="FX52">
        <v>0</v>
      </c>
      <c r="FY52">
        <v>0</v>
      </c>
      <c r="GA52" t="s">
        <v>65</v>
      </c>
      <c r="GD52">
        <v>1</v>
      </c>
      <c r="GF52">
        <v>-1540695423</v>
      </c>
      <c r="GG52">
        <v>2</v>
      </c>
      <c r="GH52">
        <v>3</v>
      </c>
      <c r="GI52">
        <v>5</v>
      </c>
      <c r="GJ52">
        <v>0</v>
      </c>
      <c r="GK52">
        <v>0</v>
      </c>
      <c r="GL52">
        <f t="shared" si="74"/>
        <v>0</v>
      </c>
      <c r="GM52">
        <f t="shared" si="75"/>
        <v>93</v>
      </c>
      <c r="GN52">
        <f t="shared" si="76"/>
        <v>93</v>
      </c>
      <c r="GO52">
        <f t="shared" si="77"/>
        <v>0</v>
      </c>
      <c r="GP52">
        <f t="shared" si="78"/>
        <v>0</v>
      </c>
      <c r="GR52">
        <v>1</v>
      </c>
      <c r="GS52">
        <v>1</v>
      </c>
      <c r="GT52">
        <v>0</v>
      </c>
      <c r="GU52" t="s">
        <v>6</v>
      </c>
      <c r="GV52">
        <f t="shared" si="79"/>
        <v>0</v>
      </c>
      <c r="GW52">
        <v>1</v>
      </c>
      <c r="GX52">
        <f t="shared" si="80"/>
        <v>0</v>
      </c>
      <c r="HA52">
        <v>0</v>
      </c>
      <c r="HB52">
        <v>0</v>
      </c>
      <c r="HC52">
        <f t="shared" si="81"/>
        <v>0</v>
      </c>
      <c r="HE52" t="s">
        <v>39</v>
      </c>
      <c r="HF52" t="s">
        <v>40</v>
      </c>
      <c r="HM52" t="s">
        <v>6</v>
      </c>
      <c r="HN52" t="s">
        <v>6</v>
      </c>
      <c r="HO52" t="s">
        <v>6</v>
      </c>
      <c r="HP52" t="s">
        <v>6</v>
      </c>
      <c r="HQ52" t="s">
        <v>6</v>
      </c>
      <c r="IF52">
        <v>-1</v>
      </c>
      <c r="IK52">
        <v>0</v>
      </c>
    </row>
    <row r="53" spans="1:255" x14ac:dyDescent="0.2">
      <c r="A53" s="2">
        <v>18</v>
      </c>
      <c r="B53" s="2">
        <v>1</v>
      </c>
      <c r="C53" s="2">
        <v>49</v>
      </c>
      <c r="D53" s="2"/>
      <c r="E53" s="2" t="s">
        <v>83</v>
      </c>
      <c r="F53" s="2" t="s">
        <v>84</v>
      </c>
      <c r="G53" s="2" t="s">
        <v>85</v>
      </c>
      <c r="H53" s="2" t="s">
        <v>44</v>
      </c>
      <c r="I53" s="2">
        <f>I49*J53</f>
        <v>1.1881649999999999</v>
      </c>
      <c r="J53" s="207">
        <f>'5.Ведомость_списания'!F42</f>
        <v>4.0300003391785091E-2</v>
      </c>
      <c r="K53" s="2">
        <v>4.0300000000000002E-2</v>
      </c>
      <c r="L53" s="2"/>
      <c r="M53" s="2"/>
      <c r="N53" s="2"/>
      <c r="O53" s="2">
        <f t="shared" si="45"/>
        <v>5133</v>
      </c>
      <c r="P53" s="2">
        <f t="shared" si="46"/>
        <v>5133</v>
      </c>
      <c r="Q53" s="2">
        <f t="shared" si="47"/>
        <v>0</v>
      </c>
      <c r="R53" s="2">
        <f t="shared" si="48"/>
        <v>0</v>
      </c>
      <c r="S53" s="2">
        <f t="shared" si="49"/>
        <v>0</v>
      </c>
      <c r="T53" s="2">
        <f t="shared" si="50"/>
        <v>0</v>
      </c>
      <c r="U53" s="2">
        <f t="shared" si="51"/>
        <v>0</v>
      </c>
      <c r="V53" s="2">
        <f t="shared" si="52"/>
        <v>0</v>
      </c>
      <c r="W53" s="2">
        <f t="shared" si="53"/>
        <v>0</v>
      </c>
      <c r="X53" s="2">
        <f t="shared" si="54"/>
        <v>0</v>
      </c>
      <c r="Y53" s="2">
        <f t="shared" si="55"/>
        <v>0</v>
      </c>
      <c r="Z53" s="2"/>
      <c r="AA53" s="2">
        <v>74242616</v>
      </c>
      <c r="AB53" s="2">
        <f t="shared" si="56"/>
        <v>4319.75</v>
      </c>
      <c r="AC53" s="2">
        <f t="shared" si="83"/>
        <v>4319.75</v>
      </c>
      <c r="AD53" s="2">
        <f t="shared" si="83"/>
        <v>0</v>
      </c>
      <c r="AE53" s="2">
        <f t="shared" si="58"/>
        <v>0</v>
      </c>
      <c r="AF53" s="2">
        <f t="shared" si="59"/>
        <v>0</v>
      </c>
      <c r="AG53" s="2">
        <f t="shared" si="60"/>
        <v>0</v>
      </c>
      <c r="AH53" s="2">
        <f t="shared" si="61"/>
        <v>0</v>
      </c>
      <c r="AI53" s="2">
        <f t="shared" si="62"/>
        <v>0</v>
      </c>
      <c r="AJ53" s="2">
        <f t="shared" si="63"/>
        <v>0</v>
      </c>
      <c r="AK53" s="2">
        <v>4319.75</v>
      </c>
      <c r="AL53" s="111">
        <f>'1.Лок.смета.и.Акт'!F110</f>
        <v>4319.75</v>
      </c>
      <c r="AM53" s="2">
        <v>0</v>
      </c>
      <c r="AN53" s="2">
        <v>0</v>
      </c>
      <c r="AO53" s="2">
        <v>0</v>
      </c>
      <c r="AP53" s="2">
        <v>0</v>
      </c>
      <c r="AQ53" s="2">
        <v>0</v>
      </c>
      <c r="AR53" s="2">
        <v>0</v>
      </c>
      <c r="AS53" s="2">
        <v>0</v>
      </c>
      <c r="AT53" s="2">
        <v>0</v>
      </c>
      <c r="AU53" s="2">
        <v>0</v>
      </c>
      <c r="AV53" s="2">
        <v>1</v>
      </c>
      <c r="AW53" s="2">
        <v>1</v>
      </c>
      <c r="AX53" s="2"/>
      <c r="AY53" s="2"/>
      <c r="AZ53" s="2">
        <v>1</v>
      </c>
      <c r="BA53" s="2">
        <v>1</v>
      </c>
      <c r="BB53" s="2">
        <v>1</v>
      </c>
      <c r="BC53" s="2">
        <v>1</v>
      </c>
      <c r="BD53" s="2" t="s">
        <v>6</v>
      </c>
      <c r="BE53" s="2" t="s">
        <v>6</v>
      </c>
      <c r="BF53" s="2" t="s">
        <v>6</v>
      </c>
      <c r="BG53" s="2" t="s">
        <v>6</v>
      </c>
      <c r="BH53" s="2">
        <v>3</v>
      </c>
      <c r="BI53" s="2">
        <v>0</v>
      </c>
      <c r="BJ53" s="2" t="s">
        <v>86</v>
      </c>
      <c r="BK53" s="2"/>
      <c r="BL53" s="2"/>
      <c r="BM53" s="2">
        <v>3101</v>
      </c>
      <c r="BN53" s="2">
        <v>0</v>
      </c>
      <c r="BO53" s="2" t="s">
        <v>6</v>
      </c>
      <c r="BP53" s="2">
        <v>0</v>
      </c>
      <c r="BQ53" s="2">
        <v>0</v>
      </c>
      <c r="BR53" s="2">
        <v>0</v>
      </c>
      <c r="BS53" s="2">
        <v>1</v>
      </c>
      <c r="BT53" s="2">
        <v>1</v>
      </c>
      <c r="BU53" s="2">
        <v>1</v>
      </c>
      <c r="BV53" s="2">
        <v>1</v>
      </c>
      <c r="BW53" s="2">
        <v>1</v>
      </c>
      <c r="BX53" s="2">
        <v>1</v>
      </c>
      <c r="BY53" s="2" t="s">
        <v>6</v>
      </c>
      <c r="BZ53" s="2">
        <v>0</v>
      </c>
      <c r="CA53" s="2">
        <v>0</v>
      </c>
      <c r="CB53" s="2" t="s">
        <v>6</v>
      </c>
      <c r="CC53" s="2"/>
      <c r="CD53" s="2"/>
      <c r="CE53" s="2">
        <v>0</v>
      </c>
      <c r="CF53" s="2">
        <v>0</v>
      </c>
      <c r="CG53" s="2">
        <v>0</v>
      </c>
      <c r="CH53" s="2"/>
      <c r="CI53" s="2"/>
      <c r="CJ53" s="2"/>
      <c r="CK53" s="2"/>
      <c r="CL53" s="2"/>
      <c r="CM53" s="2">
        <v>0</v>
      </c>
      <c r="CN53" s="2" t="s">
        <v>6</v>
      </c>
      <c r="CO53" s="2">
        <v>0</v>
      </c>
      <c r="CP53" s="2">
        <f t="shared" si="64"/>
        <v>5133</v>
      </c>
      <c r="CQ53" s="2">
        <f t="shared" si="65"/>
        <v>4319.75</v>
      </c>
      <c r="CR53" s="2">
        <f t="shared" si="66"/>
        <v>0</v>
      </c>
      <c r="CS53" s="2">
        <f t="shared" si="67"/>
        <v>0</v>
      </c>
      <c r="CT53" s="2">
        <f t="shared" si="68"/>
        <v>0</v>
      </c>
      <c r="CU53" s="2">
        <f t="shared" si="69"/>
        <v>0</v>
      </c>
      <c r="CV53" s="2">
        <f t="shared" si="70"/>
        <v>0</v>
      </c>
      <c r="CW53" s="2">
        <f t="shared" si="71"/>
        <v>0</v>
      </c>
      <c r="CX53" s="2">
        <f t="shared" si="72"/>
        <v>0</v>
      </c>
      <c r="CY53" s="2">
        <f>0</f>
        <v>0</v>
      </c>
      <c r="CZ53" s="2">
        <f>0</f>
        <v>0</v>
      </c>
      <c r="DA53" s="2"/>
      <c r="DB53" s="2"/>
      <c r="DC53" s="2" t="s">
        <v>6</v>
      </c>
      <c r="DD53" s="2" t="s">
        <v>6</v>
      </c>
      <c r="DE53" s="2" t="s">
        <v>6</v>
      </c>
      <c r="DF53" s="2" t="s">
        <v>6</v>
      </c>
      <c r="DG53" s="2" t="s">
        <v>6</v>
      </c>
      <c r="DH53" s="2" t="s">
        <v>6</v>
      </c>
      <c r="DI53" s="2" t="s">
        <v>6</v>
      </c>
      <c r="DJ53" s="2" t="s">
        <v>6</v>
      </c>
      <c r="DK53" s="2" t="s">
        <v>6</v>
      </c>
      <c r="DL53" s="2" t="s">
        <v>6</v>
      </c>
      <c r="DM53" s="2" t="s">
        <v>6</v>
      </c>
      <c r="DN53" s="2">
        <v>0</v>
      </c>
      <c r="DO53" s="2">
        <v>0</v>
      </c>
      <c r="DP53" s="2">
        <v>1</v>
      </c>
      <c r="DQ53" s="2">
        <v>1</v>
      </c>
      <c r="DR53" s="2"/>
      <c r="DS53" s="2"/>
      <c r="DT53" s="2"/>
      <c r="DU53" s="2">
        <v>1009</v>
      </c>
      <c r="DV53" s="2" t="s">
        <v>44</v>
      </c>
      <c r="DW53" s="2" t="s">
        <v>44</v>
      </c>
      <c r="DX53" s="2">
        <v>1000</v>
      </c>
      <c r="DY53" s="2"/>
      <c r="DZ53" s="2" t="s">
        <v>6</v>
      </c>
      <c r="EA53" s="2" t="s">
        <v>6</v>
      </c>
      <c r="EB53" s="2" t="s">
        <v>6</v>
      </c>
      <c r="EC53" s="2" t="s">
        <v>6</v>
      </c>
      <c r="ED53" s="2"/>
      <c r="EE53" s="2">
        <v>0</v>
      </c>
      <c r="EF53" s="2">
        <v>0</v>
      </c>
      <c r="EG53" s="2" t="s">
        <v>6</v>
      </c>
      <c r="EH53" s="2">
        <v>0</v>
      </c>
      <c r="EI53" s="2" t="s">
        <v>6</v>
      </c>
      <c r="EJ53" s="2">
        <v>0</v>
      </c>
      <c r="EK53" s="2">
        <v>3101</v>
      </c>
      <c r="EL53" s="2" t="s">
        <v>6</v>
      </c>
      <c r="EM53" s="2" t="s">
        <v>6</v>
      </c>
      <c r="EN53" s="2"/>
      <c r="EO53" s="2" t="s">
        <v>6</v>
      </c>
      <c r="EP53" s="2"/>
      <c r="EQ53" s="2">
        <v>0</v>
      </c>
      <c r="ER53" s="2">
        <v>4319.75</v>
      </c>
      <c r="ES53" s="111">
        <f>'1.Лок.смета.и.Акт'!F110</f>
        <v>4319.75</v>
      </c>
      <c r="ET53" s="2">
        <v>0</v>
      </c>
      <c r="EU53" s="2">
        <v>0</v>
      </c>
      <c r="EV53" s="2">
        <v>0</v>
      </c>
      <c r="EW53" s="2">
        <v>0</v>
      </c>
      <c r="EX53" s="2">
        <v>0</v>
      </c>
      <c r="EY53" s="2"/>
      <c r="EZ53" s="2"/>
      <c r="FA53" s="2"/>
      <c r="FB53" s="2"/>
      <c r="FC53" s="2"/>
      <c r="FD53" s="2"/>
      <c r="FE53" s="2"/>
      <c r="FF53" s="2"/>
      <c r="FG53" s="2"/>
      <c r="FH53" s="2"/>
      <c r="FI53" s="2"/>
      <c r="FJ53" s="2"/>
      <c r="FK53" s="2"/>
      <c r="FL53" s="2"/>
      <c r="FM53" s="2"/>
      <c r="FN53" s="2"/>
      <c r="FO53" s="2"/>
      <c r="FP53" s="2"/>
      <c r="FQ53" s="2">
        <v>0</v>
      </c>
      <c r="FR53" s="2">
        <f t="shared" si="73"/>
        <v>0</v>
      </c>
      <c r="FS53" s="2">
        <v>0</v>
      </c>
      <c r="FT53" s="2"/>
      <c r="FU53" s="2"/>
      <c r="FV53" s="2"/>
      <c r="FW53" s="2"/>
      <c r="FX53" s="2">
        <v>0</v>
      </c>
      <c r="FY53" s="2">
        <v>0</v>
      </c>
      <c r="FZ53" s="2"/>
      <c r="GA53" s="2" t="s">
        <v>6</v>
      </c>
      <c r="GB53" s="2"/>
      <c r="GC53" s="2"/>
      <c r="GD53" s="2">
        <v>1</v>
      </c>
      <c r="GE53" s="2"/>
      <c r="GF53" s="2">
        <v>2058864970</v>
      </c>
      <c r="GG53" s="2">
        <v>2</v>
      </c>
      <c r="GH53" s="2">
        <v>1</v>
      </c>
      <c r="GI53" s="2">
        <v>-2</v>
      </c>
      <c r="GJ53" s="2">
        <v>0</v>
      </c>
      <c r="GK53" s="2">
        <v>0</v>
      </c>
      <c r="GL53" s="2">
        <f t="shared" si="74"/>
        <v>0</v>
      </c>
      <c r="GM53" s="2">
        <f t="shared" si="75"/>
        <v>5133</v>
      </c>
      <c r="GN53" s="2">
        <f t="shared" si="76"/>
        <v>5133</v>
      </c>
      <c r="GO53" s="2">
        <f t="shared" si="77"/>
        <v>0</v>
      </c>
      <c r="GP53" s="2">
        <f t="shared" si="78"/>
        <v>0</v>
      </c>
      <c r="GQ53" s="2"/>
      <c r="GR53" s="2">
        <v>0</v>
      </c>
      <c r="GS53" s="2">
        <v>3</v>
      </c>
      <c r="GT53" s="2">
        <v>0</v>
      </c>
      <c r="GU53" s="2" t="s">
        <v>6</v>
      </c>
      <c r="GV53" s="2">
        <f t="shared" si="79"/>
        <v>0</v>
      </c>
      <c r="GW53" s="2">
        <v>1</v>
      </c>
      <c r="GX53" s="2">
        <f t="shared" si="80"/>
        <v>0</v>
      </c>
      <c r="GY53" s="2"/>
      <c r="GZ53" s="2"/>
      <c r="HA53" s="2">
        <v>0</v>
      </c>
      <c r="HB53" s="2">
        <v>0</v>
      </c>
      <c r="HC53" s="2">
        <f t="shared" si="81"/>
        <v>0</v>
      </c>
      <c r="HD53" s="2"/>
      <c r="HE53" s="2" t="s">
        <v>6</v>
      </c>
      <c r="HF53" s="2" t="s">
        <v>6</v>
      </c>
      <c r="HG53" s="2"/>
      <c r="HH53" s="2"/>
      <c r="HI53" s="2"/>
      <c r="HJ53" s="2"/>
      <c r="HK53" s="2"/>
      <c r="HL53" s="2"/>
      <c r="HM53" s="2" t="s">
        <v>6</v>
      </c>
      <c r="HN53" s="2" t="s">
        <v>6</v>
      </c>
      <c r="HO53" s="2" t="s">
        <v>6</v>
      </c>
      <c r="HP53" s="2" t="s">
        <v>6</v>
      </c>
      <c r="HQ53" s="2" t="s">
        <v>6</v>
      </c>
      <c r="HR53" s="2"/>
      <c r="HS53" s="2"/>
      <c r="HT53" s="2"/>
      <c r="HU53" s="2"/>
      <c r="HV53" s="2"/>
      <c r="HW53" s="2"/>
      <c r="HX53" s="2"/>
      <c r="HY53" s="2"/>
      <c r="HZ53" s="2"/>
      <c r="IA53" s="2"/>
      <c r="IB53" s="2"/>
      <c r="IC53" s="2"/>
      <c r="ID53" s="2"/>
      <c r="IE53" s="2"/>
      <c r="IF53" s="2">
        <v>-1</v>
      </c>
      <c r="IG53" s="2"/>
      <c r="IH53" s="2"/>
      <c r="II53" s="2"/>
      <c r="IJ53" s="2"/>
      <c r="IK53" s="2">
        <v>0</v>
      </c>
      <c r="IL53" s="2"/>
      <c r="IM53" s="2"/>
      <c r="IN53" s="2"/>
      <c r="IO53" s="2"/>
      <c r="IP53" s="2"/>
      <c r="IQ53" s="2"/>
      <c r="IR53" s="2"/>
      <c r="IS53" s="2"/>
      <c r="IT53" s="2"/>
      <c r="IU53" s="2"/>
    </row>
    <row r="54" spans="1:255" x14ac:dyDescent="0.2">
      <c r="A54">
        <v>18</v>
      </c>
      <c r="B54">
        <v>1</v>
      </c>
      <c r="C54">
        <v>58</v>
      </c>
      <c r="E54" t="s">
        <v>83</v>
      </c>
      <c r="F54" t="e">
        <f>'2.Лок.смета.и.Акт'!#REF!</f>
        <v>#REF!</v>
      </c>
      <c r="G54" t="s">
        <v>85</v>
      </c>
      <c r="H54" t="s">
        <v>44</v>
      </c>
      <c r="I54">
        <f>I50*J54</f>
        <v>1.1881649999999999</v>
      </c>
      <c r="J54">
        <v>4.0300003391785091E-2</v>
      </c>
      <c r="K54">
        <v>4.0300000000000002E-2</v>
      </c>
      <c r="O54">
        <f t="shared" si="45"/>
        <v>21130</v>
      </c>
      <c r="P54">
        <f t="shared" si="46"/>
        <v>21130</v>
      </c>
      <c r="Q54">
        <f t="shared" si="47"/>
        <v>0</v>
      </c>
      <c r="R54">
        <f t="shared" si="48"/>
        <v>0</v>
      </c>
      <c r="S54">
        <f t="shared" si="49"/>
        <v>0</v>
      </c>
      <c r="T54">
        <f t="shared" si="50"/>
        <v>0</v>
      </c>
      <c r="U54">
        <f t="shared" si="51"/>
        <v>0</v>
      </c>
      <c r="V54">
        <f t="shared" si="52"/>
        <v>0</v>
      </c>
      <c r="W54">
        <f t="shared" si="53"/>
        <v>0</v>
      </c>
      <c r="X54">
        <f t="shared" si="54"/>
        <v>0</v>
      </c>
      <c r="Y54">
        <f t="shared" si="55"/>
        <v>0</v>
      </c>
      <c r="AA54">
        <v>74242617</v>
      </c>
      <c r="AB54">
        <f t="shared" si="56"/>
        <v>2352.38</v>
      </c>
      <c r="AC54">
        <f t="shared" si="83"/>
        <v>2352.38</v>
      </c>
      <c r="AD54">
        <f t="shared" si="83"/>
        <v>0</v>
      </c>
      <c r="AE54">
        <f t="shared" si="58"/>
        <v>0</v>
      </c>
      <c r="AF54">
        <f t="shared" si="59"/>
        <v>0</v>
      </c>
      <c r="AG54">
        <f t="shared" si="60"/>
        <v>0</v>
      </c>
      <c r="AH54">
        <f t="shared" si="61"/>
        <v>0</v>
      </c>
      <c r="AI54">
        <f t="shared" si="62"/>
        <v>0</v>
      </c>
      <c r="AJ54">
        <f t="shared" si="63"/>
        <v>0</v>
      </c>
      <c r="AK54">
        <v>2352.38</v>
      </c>
      <c r="AL54">
        <v>2352.38</v>
      </c>
      <c r="AM54">
        <v>0</v>
      </c>
      <c r="AN54">
        <v>0</v>
      </c>
      <c r="AO54">
        <v>0</v>
      </c>
      <c r="AP54">
        <v>0</v>
      </c>
      <c r="AQ54">
        <v>0</v>
      </c>
      <c r="AR54">
        <v>0</v>
      </c>
      <c r="AS54">
        <v>0</v>
      </c>
      <c r="AT54">
        <v>0</v>
      </c>
      <c r="AU54">
        <v>0</v>
      </c>
      <c r="AV54">
        <v>1</v>
      </c>
      <c r="AW54">
        <v>1</v>
      </c>
      <c r="AZ54">
        <v>1</v>
      </c>
      <c r="BA54">
        <v>1</v>
      </c>
      <c r="BB54">
        <v>1</v>
      </c>
      <c r="BC54">
        <v>7.56</v>
      </c>
      <c r="BD54" t="s">
        <v>6</v>
      </c>
      <c r="BE54" t="s">
        <v>6</v>
      </c>
      <c r="BF54" t="s">
        <v>6</v>
      </c>
      <c r="BG54" t="s">
        <v>6</v>
      </c>
      <c r="BH54">
        <v>3</v>
      </c>
      <c r="BI54">
        <v>0</v>
      </c>
      <c r="BJ54" t="s">
        <v>86</v>
      </c>
      <c r="BM54">
        <v>3101</v>
      </c>
      <c r="BN54">
        <v>0</v>
      </c>
      <c r="BO54" t="s">
        <v>6</v>
      </c>
      <c r="BP54">
        <v>0</v>
      </c>
      <c r="BQ54">
        <v>0</v>
      </c>
      <c r="BR54">
        <v>0</v>
      </c>
      <c r="BS54">
        <v>1</v>
      </c>
      <c r="BT54">
        <v>1</v>
      </c>
      <c r="BU54">
        <v>1</v>
      </c>
      <c r="BV54">
        <v>1</v>
      </c>
      <c r="BW54">
        <v>1</v>
      </c>
      <c r="BX54">
        <v>1</v>
      </c>
      <c r="BY54" t="s">
        <v>6</v>
      </c>
      <c r="BZ54">
        <v>0</v>
      </c>
      <c r="CA54">
        <v>0</v>
      </c>
      <c r="CB54" t="s">
        <v>6</v>
      </c>
      <c r="CE54">
        <v>0</v>
      </c>
      <c r="CF54">
        <v>0</v>
      </c>
      <c r="CG54">
        <v>0</v>
      </c>
      <c r="CM54">
        <v>0</v>
      </c>
      <c r="CN54" t="s">
        <v>6</v>
      </c>
      <c r="CO54">
        <v>0</v>
      </c>
      <c r="CP54">
        <f t="shared" si="64"/>
        <v>21130</v>
      </c>
      <c r="CQ54">
        <f t="shared" si="65"/>
        <v>17783.9928</v>
      </c>
      <c r="CR54">
        <f t="shared" si="66"/>
        <v>0</v>
      </c>
      <c r="CS54">
        <f t="shared" si="67"/>
        <v>0</v>
      </c>
      <c r="CT54">
        <f t="shared" si="68"/>
        <v>0</v>
      </c>
      <c r="CU54">
        <f t="shared" si="69"/>
        <v>0</v>
      </c>
      <c r="CV54">
        <f t="shared" si="70"/>
        <v>0</v>
      </c>
      <c r="CW54">
        <f t="shared" si="71"/>
        <v>0</v>
      </c>
      <c r="CX54">
        <f t="shared" si="72"/>
        <v>0</v>
      </c>
      <c r="CY54">
        <f>(S54+R54)*(BZ54/100)</f>
        <v>0</v>
      </c>
      <c r="CZ54">
        <f>(S54+R54)*(CA54/100)</f>
        <v>0</v>
      </c>
      <c r="DC54" t="s">
        <v>6</v>
      </c>
      <c r="DD54" t="s">
        <v>6</v>
      </c>
      <c r="DE54" t="s">
        <v>6</v>
      </c>
      <c r="DF54" t="s">
        <v>6</v>
      </c>
      <c r="DG54" t="s">
        <v>6</v>
      </c>
      <c r="DH54" t="s">
        <v>6</v>
      </c>
      <c r="DI54" t="s">
        <v>6</v>
      </c>
      <c r="DJ54" t="s">
        <v>6</v>
      </c>
      <c r="DK54" t="s">
        <v>6</v>
      </c>
      <c r="DL54" t="s">
        <v>6</v>
      </c>
      <c r="DM54" t="s">
        <v>6</v>
      </c>
      <c r="DN54">
        <v>0</v>
      </c>
      <c r="DO54">
        <v>0</v>
      </c>
      <c r="DP54">
        <v>1</v>
      </c>
      <c r="DQ54">
        <v>1</v>
      </c>
      <c r="DU54">
        <v>1009</v>
      </c>
      <c r="DV54" t="s">
        <v>44</v>
      </c>
      <c r="DW54" t="e">
        <f>'2.Лок.смета.и.Акт'!#REF!</f>
        <v>#REF!</v>
      </c>
      <c r="DX54">
        <v>1000</v>
      </c>
      <c r="DZ54" t="s">
        <v>6</v>
      </c>
      <c r="EA54" t="s">
        <v>6</v>
      </c>
      <c r="EB54" t="s">
        <v>6</v>
      </c>
      <c r="EC54" t="s">
        <v>6</v>
      </c>
      <c r="EE54">
        <v>0</v>
      </c>
      <c r="EF54">
        <v>0</v>
      </c>
      <c r="EG54" t="s">
        <v>6</v>
      </c>
      <c r="EH54">
        <v>0</v>
      </c>
      <c r="EI54" t="s">
        <v>6</v>
      </c>
      <c r="EJ54">
        <v>0</v>
      </c>
      <c r="EK54">
        <v>3101</v>
      </c>
      <c r="EL54" t="s">
        <v>6</v>
      </c>
      <c r="EM54" t="s">
        <v>6</v>
      </c>
      <c r="EO54" t="s">
        <v>6</v>
      </c>
      <c r="EQ54">
        <v>0</v>
      </c>
      <c r="ER54">
        <v>17010</v>
      </c>
      <c r="ES54">
        <v>2352.38</v>
      </c>
      <c r="ET54">
        <v>0</v>
      </c>
      <c r="EU54">
        <v>0</v>
      </c>
      <c r="EV54">
        <v>0</v>
      </c>
      <c r="EW54">
        <v>0</v>
      </c>
      <c r="EX54">
        <v>0</v>
      </c>
      <c r="EZ54">
        <v>5</v>
      </c>
      <c r="FC54">
        <v>0</v>
      </c>
      <c r="FD54">
        <v>18</v>
      </c>
      <c r="FF54">
        <v>17010</v>
      </c>
      <c r="FQ54">
        <v>0</v>
      </c>
      <c r="FR54">
        <f t="shared" si="73"/>
        <v>0</v>
      </c>
      <c r="FS54">
        <v>0</v>
      </c>
      <c r="FX54">
        <v>0</v>
      </c>
      <c r="FY54">
        <v>0</v>
      </c>
      <c r="GA54" t="s">
        <v>87</v>
      </c>
      <c r="GD54">
        <v>1</v>
      </c>
      <c r="GF54">
        <v>2058864970</v>
      </c>
      <c r="GG54">
        <v>2</v>
      </c>
      <c r="GH54">
        <v>3</v>
      </c>
      <c r="GI54">
        <v>5</v>
      </c>
      <c r="GJ54">
        <v>0</v>
      </c>
      <c r="GK54">
        <v>0</v>
      </c>
      <c r="GL54">
        <f t="shared" si="74"/>
        <v>0</v>
      </c>
      <c r="GM54">
        <f t="shared" si="75"/>
        <v>21130</v>
      </c>
      <c r="GN54">
        <f t="shared" si="76"/>
        <v>21130</v>
      </c>
      <c r="GO54">
        <f t="shared" si="77"/>
        <v>0</v>
      </c>
      <c r="GP54">
        <f t="shared" si="78"/>
        <v>0</v>
      </c>
      <c r="GR54">
        <v>1</v>
      </c>
      <c r="GS54">
        <v>1</v>
      </c>
      <c r="GT54">
        <v>0</v>
      </c>
      <c r="GU54" t="s">
        <v>6</v>
      </c>
      <c r="GV54">
        <f t="shared" si="79"/>
        <v>0</v>
      </c>
      <c r="GW54">
        <v>1</v>
      </c>
      <c r="GX54">
        <f t="shared" si="80"/>
        <v>0</v>
      </c>
      <c r="HA54">
        <v>0</v>
      </c>
      <c r="HB54">
        <v>0</v>
      </c>
      <c r="HC54">
        <f t="shared" si="81"/>
        <v>0</v>
      </c>
      <c r="HE54" t="s">
        <v>39</v>
      </c>
      <c r="HF54" t="s">
        <v>40</v>
      </c>
      <c r="HM54" t="s">
        <v>6</v>
      </c>
      <c r="HN54" t="s">
        <v>6</v>
      </c>
      <c r="HO54" t="s">
        <v>6</v>
      </c>
      <c r="HP54" t="s">
        <v>6</v>
      </c>
      <c r="HQ54" t="s">
        <v>6</v>
      </c>
      <c r="IF54">
        <v>-1</v>
      </c>
      <c r="IK54">
        <v>0</v>
      </c>
    </row>
    <row r="55" spans="1:255" x14ac:dyDescent="0.2">
      <c r="A55" s="2">
        <v>18</v>
      </c>
      <c r="B55" s="2">
        <v>1</v>
      </c>
      <c r="C55" s="2">
        <v>50</v>
      </c>
      <c r="D55" s="2"/>
      <c r="E55" s="2" t="s">
        <v>88</v>
      </c>
      <c r="F55" s="2" t="s">
        <v>31</v>
      </c>
      <c r="G55" s="2" t="s">
        <v>32</v>
      </c>
      <c r="H55" s="2" t="s">
        <v>33</v>
      </c>
      <c r="I55" s="2">
        <f>I49*J55</f>
        <v>2.9483000000000001</v>
      </c>
      <c r="J55" s="207">
        <f>'5.Ведомость_списания'!F43</f>
        <v>0.1</v>
      </c>
      <c r="K55" s="2">
        <v>0.1</v>
      </c>
      <c r="L55" s="2"/>
      <c r="M55" s="2"/>
      <c r="N55" s="2"/>
      <c r="O55" s="2">
        <f t="shared" si="45"/>
        <v>5</v>
      </c>
      <c r="P55" s="2">
        <f t="shared" si="46"/>
        <v>5</v>
      </c>
      <c r="Q55" s="2">
        <f t="shared" si="47"/>
        <v>0</v>
      </c>
      <c r="R55" s="2">
        <f t="shared" si="48"/>
        <v>0</v>
      </c>
      <c r="S55" s="2">
        <f t="shared" si="49"/>
        <v>0</v>
      </c>
      <c r="T55" s="2">
        <f t="shared" si="50"/>
        <v>0</v>
      </c>
      <c r="U55" s="2">
        <f t="shared" si="51"/>
        <v>0</v>
      </c>
      <c r="V55" s="2">
        <f t="shared" si="52"/>
        <v>0</v>
      </c>
      <c r="W55" s="2">
        <f t="shared" si="53"/>
        <v>0</v>
      </c>
      <c r="X55" s="2">
        <f t="shared" si="54"/>
        <v>0</v>
      </c>
      <c r="Y55" s="2">
        <f t="shared" si="55"/>
        <v>0</v>
      </c>
      <c r="Z55" s="2"/>
      <c r="AA55" s="2">
        <v>74242616</v>
      </c>
      <c r="AB55" s="2">
        <f t="shared" si="56"/>
        <v>1.82</v>
      </c>
      <c r="AC55" s="2">
        <f t="shared" si="83"/>
        <v>1.82</v>
      </c>
      <c r="AD55" s="2">
        <f t="shared" si="83"/>
        <v>0</v>
      </c>
      <c r="AE55" s="2">
        <f t="shared" si="58"/>
        <v>0</v>
      </c>
      <c r="AF55" s="2">
        <f t="shared" si="59"/>
        <v>0</v>
      </c>
      <c r="AG55" s="2">
        <f t="shared" si="60"/>
        <v>0</v>
      </c>
      <c r="AH55" s="2">
        <f t="shared" si="61"/>
        <v>0</v>
      </c>
      <c r="AI55" s="2">
        <f t="shared" si="62"/>
        <v>0</v>
      </c>
      <c r="AJ55" s="2">
        <f t="shared" si="63"/>
        <v>0</v>
      </c>
      <c r="AK55" s="2">
        <v>1.82</v>
      </c>
      <c r="AL55" s="111">
        <f>'1.Лок.смета.и.Акт'!F112</f>
        <v>1.82</v>
      </c>
      <c r="AM55" s="2">
        <v>0</v>
      </c>
      <c r="AN55" s="2">
        <v>0</v>
      </c>
      <c r="AO55" s="2">
        <v>0</v>
      </c>
      <c r="AP55" s="2">
        <v>0</v>
      </c>
      <c r="AQ55" s="2">
        <v>0</v>
      </c>
      <c r="AR55" s="2">
        <v>0</v>
      </c>
      <c r="AS55" s="2">
        <v>0</v>
      </c>
      <c r="AT55" s="2">
        <v>0</v>
      </c>
      <c r="AU55" s="2">
        <v>0</v>
      </c>
      <c r="AV55" s="2">
        <v>1</v>
      </c>
      <c r="AW55" s="2">
        <v>1</v>
      </c>
      <c r="AX55" s="2"/>
      <c r="AY55" s="2"/>
      <c r="AZ55" s="2">
        <v>1</v>
      </c>
      <c r="BA55" s="2">
        <v>1</v>
      </c>
      <c r="BB55" s="2">
        <v>1</v>
      </c>
      <c r="BC55" s="2">
        <v>1</v>
      </c>
      <c r="BD55" s="2" t="s">
        <v>6</v>
      </c>
      <c r="BE55" s="2" t="s">
        <v>6</v>
      </c>
      <c r="BF55" s="2" t="s">
        <v>6</v>
      </c>
      <c r="BG55" s="2" t="s">
        <v>6</v>
      </c>
      <c r="BH55" s="2">
        <v>3</v>
      </c>
      <c r="BI55" s="2">
        <v>0</v>
      </c>
      <c r="BJ55" s="2" t="s">
        <v>34</v>
      </c>
      <c r="BK55" s="2"/>
      <c r="BL55" s="2"/>
      <c r="BM55" s="2">
        <v>3101</v>
      </c>
      <c r="BN55" s="2">
        <v>0</v>
      </c>
      <c r="BO55" s="2" t="s">
        <v>6</v>
      </c>
      <c r="BP55" s="2">
        <v>0</v>
      </c>
      <c r="BQ55" s="2">
        <v>0</v>
      </c>
      <c r="BR55" s="2">
        <v>0</v>
      </c>
      <c r="BS55" s="2">
        <v>1</v>
      </c>
      <c r="BT55" s="2">
        <v>1</v>
      </c>
      <c r="BU55" s="2">
        <v>1</v>
      </c>
      <c r="BV55" s="2">
        <v>1</v>
      </c>
      <c r="BW55" s="2">
        <v>1</v>
      </c>
      <c r="BX55" s="2">
        <v>1</v>
      </c>
      <c r="BY55" s="2" t="s">
        <v>6</v>
      </c>
      <c r="BZ55" s="2">
        <v>0</v>
      </c>
      <c r="CA55" s="2">
        <v>0</v>
      </c>
      <c r="CB55" s="2" t="s">
        <v>6</v>
      </c>
      <c r="CC55" s="2"/>
      <c r="CD55" s="2"/>
      <c r="CE55" s="2">
        <v>0</v>
      </c>
      <c r="CF55" s="2">
        <v>0</v>
      </c>
      <c r="CG55" s="2">
        <v>0</v>
      </c>
      <c r="CH55" s="2"/>
      <c r="CI55" s="2"/>
      <c r="CJ55" s="2"/>
      <c r="CK55" s="2"/>
      <c r="CL55" s="2"/>
      <c r="CM55" s="2">
        <v>0</v>
      </c>
      <c r="CN55" s="2" t="s">
        <v>6</v>
      </c>
      <c r="CO55" s="2">
        <v>0</v>
      </c>
      <c r="CP55" s="2">
        <f t="shared" si="64"/>
        <v>5</v>
      </c>
      <c r="CQ55" s="2">
        <f t="shared" si="65"/>
        <v>1.82</v>
      </c>
      <c r="CR55" s="2">
        <f t="shared" si="66"/>
        <v>0</v>
      </c>
      <c r="CS55" s="2">
        <f t="shared" si="67"/>
        <v>0</v>
      </c>
      <c r="CT55" s="2">
        <f t="shared" si="68"/>
        <v>0</v>
      </c>
      <c r="CU55" s="2">
        <f t="shared" si="69"/>
        <v>0</v>
      </c>
      <c r="CV55" s="2">
        <f t="shared" si="70"/>
        <v>0</v>
      </c>
      <c r="CW55" s="2">
        <f t="shared" si="71"/>
        <v>0</v>
      </c>
      <c r="CX55" s="2">
        <f t="shared" si="72"/>
        <v>0</v>
      </c>
      <c r="CY55" s="2">
        <f>0</f>
        <v>0</v>
      </c>
      <c r="CZ55" s="2">
        <f>0</f>
        <v>0</v>
      </c>
      <c r="DA55" s="2"/>
      <c r="DB55" s="2"/>
      <c r="DC55" s="2" t="s">
        <v>6</v>
      </c>
      <c r="DD55" s="2" t="s">
        <v>6</v>
      </c>
      <c r="DE55" s="2" t="s">
        <v>6</v>
      </c>
      <c r="DF55" s="2" t="s">
        <v>6</v>
      </c>
      <c r="DG55" s="2" t="s">
        <v>6</v>
      </c>
      <c r="DH55" s="2" t="s">
        <v>6</v>
      </c>
      <c r="DI55" s="2" t="s">
        <v>6</v>
      </c>
      <c r="DJ55" s="2" t="s">
        <v>6</v>
      </c>
      <c r="DK55" s="2" t="s">
        <v>6</v>
      </c>
      <c r="DL55" s="2" t="s">
        <v>6</v>
      </c>
      <c r="DM55" s="2" t="s">
        <v>6</v>
      </c>
      <c r="DN55" s="2">
        <v>0</v>
      </c>
      <c r="DO55" s="2">
        <v>0</v>
      </c>
      <c r="DP55" s="2">
        <v>1</v>
      </c>
      <c r="DQ55" s="2">
        <v>1</v>
      </c>
      <c r="DR55" s="2"/>
      <c r="DS55" s="2"/>
      <c r="DT55" s="2"/>
      <c r="DU55" s="2">
        <v>1009</v>
      </c>
      <c r="DV55" s="2" t="s">
        <v>33</v>
      </c>
      <c r="DW55" s="2" t="s">
        <v>33</v>
      </c>
      <c r="DX55" s="2">
        <v>1</v>
      </c>
      <c r="DY55" s="2"/>
      <c r="DZ55" s="2" t="s">
        <v>6</v>
      </c>
      <c r="EA55" s="2" t="s">
        <v>6</v>
      </c>
      <c r="EB55" s="2" t="s">
        <v>6</v>
      </c>
      <c r="EC55" s="2" t="s">
        <v>6</v>
      </c>
      <c r="ED55" s="2"/>
      <c r="EE55" s="2">
        <v>0</v>
      </c>
      <c r="EF55" s="2">
        <v>0</v>
      </c>
      <c r="EG55" s="2" t="s">
        <v>6</v>
      </c>
      <c r="EH55" s="2">
        <v>0</v>
      </c>
      <c r="EI55" s="2" t="s">
        <v>6</v>
      </c>
      <c r="EJ55" s="2">
        <v>0</v>
      </c>
      <c r="EK55" s="2">
        <v>3101</v>
      </c>
      <c r="EL55" s="2" t="s">
        <v>6</v>
      </c>
      <c r="EM55" s="2" t="s">
        <v>6</v>
      </c>
      <c r="EN55" s="2"/>
      <c r="EO55" s="2" t="s">
        <v>6</v>
      </c>
      <c r="EP55" s="2"/>
      <c r="EQ55" s="2">
        <v>0</v>
      </c>
      <c r="ER55" s="2">
        <v>1.82</v>
      </c>
      <c r="ES55" s="111">
        <f>'1.Лок.смета.и.Акт'!F112</f>
        <v>1.82</v>
      </c>
      <c r="ET55" s="2">
        <v>0</v>
      </c>
      <c r="EU55" s="2">
        <v>0</v>
      </c>
      <c r="EV55" s="2">
        <v>0</v>
      </c>
      <c r="EW55" s="2">
        <v>0</v>
      </c>
      <c r="EX55" s="2">
        <v>0</v>
      </c>
      <c r="EY55" s="2"/>
      <c r="EZ55" s="2"/>
      <c r="FA55" s="2"/>
      <c r="FB55" s="2"/>
      <c r="FC55" s="2"/>
      <c r="FD55" s="2"/>
      <c r="FE55" s="2"/>
      <c r="FF55" s="2"/>
      <c r="FG55" s="2"/>
      <c r="FH55" s="2"/>
      <c r="FI55" s="2"/>
      <c r="FJ55" s="2"/>
      <c r="FK55" s="2"/>
      <c r="FL55" s="2"/>
      <c r="FM55" s="2"/>
      <c r="FN55" s="2"/>
      <c r="FO55" s="2"/>
      <c r="FP55" s="2"/>
      <c r="FQ55" s="2">
        <v>0</v>
      </c>
      <c r="FR55" s="2">
        <f t="shared" si="73"/>
        <v>0</v>
      </c>
      <c r="FS55" s="2">
        <v>0</v>
      </c>
      <c r="FT55" s="2"/>
      <c r="FU55" s="2"/>
      <c r="FV55" s="2"/>
      <c r="FW55" s="2"/>
      <c r="FX55" s="2">
        <v>0</v>
      </c>
      <c r="FY55" s="2">
        <v>0</v>
      </c>
      <c r="FZ55" s="2"/>
      <c r="GA55" s="2" t="s">
        <v>6</v>
      </c>
      <c r="GB55" s="2"/>
      <c r="GC55" s="2"/>
      <c r="GD55" s="2">
        <v>1</v>
      </c>
      <c r="GE55" s="2"/>
      <c r="GF55" s="2">
        <v>-386994921</v>
      </c>
      <c r="GG55" s="2">
        <v>2</v>
      </c>
      <c r="GH55" s="2">
        <v>0</v>
      </c>
      <c r="GI55" s="2">
        <v>-2</v>
      </c>
      <c r="GJ55" s="2">
        <v>0</v>
      </c>
      <c r="GK55" s="2">
        <v>0</v>
      </c>
      <c r="GL55" s="2">
        <f t="shared" si="74"/>
        <v>0</v>
      </c>
      <c r="GM55" s="2">
        <f t="shared" si="75"/>
        <v>5</v>
      </c>
      <c r="GN55" s="2">
        <f t="shared" si="76"/>
        <v>5</v>
      </c>
      <c r="GO55" s="2">
        <f t="shared" si="77"/>
        <v>0</v>
      </c>
      <c r="GP55" s="2">
        <f t="shared" si="78"/>
        <v>0</v>
      </c>
      <c r="GQ55" s="2"/>
      <c r="GR55" s="2">
        <v>0</v>
      </c>
      <c r="GS55" s="2">
        <v>3</v>
      </c>
      <c r="GT55" s="2">
        <v>0</v>
      </c>
      <c r="GU55" s="2" t="s">
        <v>6</v>
      </c>
      <c r="GV55" s="2">
        <f t="shared" si="79"/>
        <v>0</v>
      </c>
      <c r="GW55" s="2">
        <v>1</v>
      </c>
      <c r="GX55" s="2">
        <f t="shared" si="80"/>
        <v>0</v>
      </c>
      <c r="GY55" s="2"/>
      <c r="GZ55" s="2"/>
      <c r="HA55" s="2">
        <v>0</v>
      </c>
      <c r="HB55" s="2">
        <v>0</v>
      </c>
      <c r="HC55" s="2">
        <f t="shared" si="81"/>
        <v>0</v>
      </c>
      <c r="HD55" s="2"/>
      <c r="HE55" s="2" t="s">
        <v>6</v>
      </c>
      <c r="HF55" s="2" t="s">
        <v>6</v>
      </c>
      <c r="HG55" s="2"/>
      <c r="HH55" s="2"/>
      <c r="HI55" s="2"/>
      <c r="HJ55" s="2"/>
      <c r="HK55" s="2"/>
      <c r="HL55" s="2"/>
      <c r="HM55" s="2" t="s">
        <v>6</v>
      </c>
      <c r="HN55" s="2" t="s">
        <v>6</v>
      </c>
      <c r="HO55" s="2" t="s">
        <v>6</v>
      </c>
      <c r="HP55" s="2" t="s">
        <v>6</v>
      </c>
      <c r="HQ55" s="2" t="s">
        <v>6</v>
      </c>
      <c r="HR55" s="2"/>
      <c r="HS55" s="2"/>
      <c r="HT55" s="2"/>
      <c r="HU55" s="2"/>
      <c r="HV55" s="2"/>
      <c r="HW55" s="2"/>
      <c r="HX55" s="2"/>
      <c r="HY55" s="2"/>
      <c r="HZ55" s="2"/>
      <c r="IA55" s="2"/>
      <c r="IB55" s="2"/>
      <c r="IC55" s="2"/>
      <c r="ID55" s="2"/>
      <c r="IE55" s="2"/>
      <c r="IF55" s="2">
        <v>-1</v>
      </c>
      <c r="IG55" s="2"/>
      <c r="IH55" s="2"/>
      <c r="II55" s="2"/>
      <c r="IJ55" s="2"/>
      <c r="IK55" s="2">
        <v>0</v>
      </c>
      <c r="IL55" s="2"/>
      <c r="IM55" s="2"/>
      <c r="IN55" s="2"/>
      <c r="IO55" s="2"/>
      <c r="IP55" s="2"/>
      <c r="IQ55" s="2"/>
      <c r="IR55" s="2"/>
      <c r="IS55" s="2"/>
      <c r="IT55" s="2"/>
      <c r="IU55" s="2"/>
    </row>
    <row r="56" spans="1:255" x14ac:dyDescent="0.2">
      <c r="A56">
        <v>18</v>
      </c>
      <c r="B56">
        <v>1</v>
      </c>
      <c r="C56">
        <v>59</v>
      </c>
      <c r="E56" t="s">
        <v>88</v>
      </c>
      <c r="F56" t="e">
        <f>'2.Лок.смета.и.Акт'!#REF!</f>
        <v>#REF!</v>
      </c>
      <c r="G56" t="s">
        <v>32</v>
      </c>
      <c r="H56" t="s">
        <v>33</v>
      </c>
      <c r="I56">
        <f>I50*J56</f>
        <v>2.9483000000000001</v>
      </c>
      <c r="J56">
        <v>0.1</v>
      </c>
      <c r="K56">
        <v>0.1</v>
      </c>
      <c r="O56">
        <f t="shared" si="45"/>
        <v>95</v>
      </c>
      <c r="P56">
        <f t="shared" si="46"/>
        <v>95</v>
      </c>
      <c r="Q56">
        <f t="shared" si="47"/>
        <v>0</v>
      </c>
      <c r="R56">
        <f t="shared" si="48"/>
        <v>0</v>
      </c>
      <c r="S56">
        <f t="shared" si="49"/>
        <v>0</v>
      </c>
      <c r="T56">
        <f t="shared" si="50"/>
        <v>0</v>
      </c>
      <c r="U56">
        <f t="shared" si="51"/>
        <v>0</v>
      </c>
      <c r="V56">
        <f t="shared" si="52"/>
        <v>0</v>
      </c>
      <c r="W56">
        <f t="shared" si="53"/>
        <v>0</v>
      </c>
      <c r="X56">
        <f t="shared" si="54"/>
        <v>0</v>
      </c>
      <c r="Y56">
        <f t="shared" si="55"/>
        <v>0</v>
      </c>
      <c r="AA56">
        <v>74242617</v>
      </c>
      <c r="AB56">
        <f t="shared" si="56"/>
        <v>4.28</v>
      </c>
      <c r="AC56">
        <f t="shared" si="83"/>
        <v>4.28</v>
      </c>
      <c r="AD56">
        <f t="shared" si="83"/>
        <v>0</v>
      </c>
      <c r="AE56">
        <f t="shared" si="58"/>
        <v>0</v>
      </c>
      <c r="AF56">
        <f t="shared" si="59"/>
        <v>0</v>
      </c>
      <c r="AG56">
        <f t="shared" si="60"/>
        <v>0</v>
      </c>
      <c r="AH56">
        <f t="shared" si="61"/>
        <v>0</v>
      </c>
      <c r="AI56">
        <f t="shared" si="62"/>
        <v>0</v>
      </c>
      <c r="AJ56">
        <f t="shared" si="63"/>
        <v>0</v>
      </c>
      <c r="AK56">
        <v>4.2799999999999994</v>
      </c>
      <c r="AL56">
        <v>4.2799999999999994</v>
      </c>
      <c r="AM56">
        <v>0</v>
      </c>
      <c r="AN56">
        <v>0</v>
      </c>
      <c r="AO56">
        <v>0</v>
      </c>
      <c r="AP56">
        <v>0</v>
      </c>
      <c r="AQ56">
        <v>0</v>
      </c>
      <c r="AR56">
        <v>0</v>
      </c>
      <c r="AS56">
        <v>0</v>
      </c>
      <c r="AT56">
        <v>0</v>
      </c>
      <c r="AU56">
        <v>0</v>
      </c>
      <c r="AV56">
        <v>1</v>
      </c>
      <c r="AW56">
        <v>1</v>
      </c>
      <c r="AZ56">
        <v>1</v>
      </c>
      <c r="BA56">
        <v>1</v>
      </c>
      <c r="BB56">
        <v>1</v>
      </c>
      <c r="BC56">
        <v>7.56</v>
      </c>
      <c r="BD56" t="s">
        <v>6</v>
      </c>
      <c r="BE56" t="s">
        <v>6</v>
      </c>
      <c r="BF56" t="s">
        <v>6</v>
      </c>
      <c r="BG56" t="s">
        <v>6</v>
      </c>
      <c r="BH56">
        <v>3</v>
      </c>
      <c r="BI56">
        <v>0</v>
      </c>
      <c r="BJ56" t="s">
        <v>34</v>
      </c>
      <c r="BM56">
        <v>3101</v>
      </c>
      <c r="BN56">
        <v>0</v>
      </c>
      <c r="BO56" t="s">
        <v>6</v>
      </c>
      <c r="BP56">
        <v>0</v>
      </c>
      <c r="BQ56">
        <v>0</v>
      </c>
      <c r="BR56">
        <v>0</v>
      </c>
      <c r="BS56">
        <v>1</v>
      </c>
      <c r="BT56">
        <v>1</v>
      </c>
      <c r="BU56">
        <v>1</v>
      </c>
      <c r="BV56">
        <v>1</v>
      </c>
      <c r="BW56">
        <v>1</v>
      </c>
      <c r="BX56">
        <v>1</v>
      </c>
      <c r="BY56" t="s">
        <v>6</v>
      </c>
      <c r="BZ56">
        <v>0</v>
      </c>
      <c r="CA56">
        <v>0</v>
      </c>
      <c r="CB56" t="s">
        <v>6</v>
      </c>
      <c r="CE56">
        <v>0</v>
      </c>
      <c r="CF56">
        <v>0</v>
      </c>
      <c r="CG56">
        <v>0</v>
      </c>
      <c r="CM56">
        <v>0</v>
      </c>
      <c r="CN56" t="s">
        <v>6</v>
      </c>
      <c r="CO56">
        <v>0</v>
      </c>
      <c r="CP56">
        <f t="shared" si="64"/>
        <v>95</v>
      </c>
      <c r="CQ56">
        <f t="shared" si="65"/>
        <v>32.3568</v>
      </c>
      <c r="CR56">
        <f t="shared" si="66"/>
        <v>0</v>
      </c>
      <c r="CS56">
        <f t="shared" si="67"/>
        <v>0</v>
      </c>
      <c r="CT56">
        <f t="shared" si="68"/>
        <v>0</v>
      </c>
      <c r="CU56">
        <f t="shared" si="69"/>
        <v>0</v>
      </c>
      <c r="CV56">
        <f t="shared" si="70"/>
        <v>0</v>
      </c>
      <c r="CW56">
        <f t="shared" si="71"/>
        <v>0</v>
      </c>
      <c r="CX56">
        <f t="shared" si="72"/>
        <v>0</v>
      </c>
      <c r="CY56">
        <f>(S56+R56)*(BZ56/100)</f>
        <v>0</v>
      </c>
      <c r="CZ56">
        <f>(S56+R56)*(CA56/100)</f>
        <v>0</v>
      </c>
      <c r="DC56" t="s">
        <v>6</v>
      </c>
      <c r="DD56" t="s">
        <v>6</v>
      </c>
      <c r="DE56" t="s">
        <v>6</v>
      </c>
      <c r="DF56" t="s">
        <v>6</v>
      </c>
      <c r="DG56" t="s">
        <v>6</v>
      </c>
      <c r="DH56" t="s">
        <v>6</v>
      </c>
      <c r="DI56" t="s">
        <v>6</v>
      </c>
      <c r="DJ56" t="s">
        <v>6</v>
      </c>
      <c r="DK56" t="s">
        <v>6</v>
      </c>
      <c r="DL56" t="s">
        <v>6</v>
      </c>
      <c r="DM56" t="s">
        <v>6</v>
      </c>
      <c r="DN56">
        <v>0</v>
      </c>
      <c r="DO56">
        <v>0</v>
      </c>
      <c r="DP56">
        <v>1</v>
      </c>
      <c r="DQ56">
        <v>1</v>
      </c>
      <c r="DU56">
        <v>1009</v>
      </c>
      <c r="DV56" t="s">
        <v>33</v>
      </c>
      <c r="DW56" t="e">
        <f>'2.Лок.смета.и.Акт'!#REF!</f>
        <v>#REF!</v>
      </c>
      <c r="DX56">
        <v>1</v>
      </c>
      <c r="DZ56" t="s">
        <v>6</v>
      </c>
      <c r="EA56" t="s">
        <v>6</v>
      </c>
      <c r="EB56" t="s">
        <v>6</v>
      </c>
      <c r="EC56" t="s">
        <v>6</v>
      </c>
      <c r="EE56">
        <v>0</v>
      </c>
      <c r="EF56">
        <v>0</v>
      </c>
      <c r="EG56" t="s">
        <v>6</v>
      </c>
      <c r="EH56">
        <v>0</v>
      </c>
      <c r="EI56" t="s">
        <v>6</v>
      </c>
      <c r="EJ56">
        <v>0</v>
      </c>
      <c r="EK56">
        <v>3101</v>
      </c>
      <c r="EL56" t="s">
        <v>6</v>
      </c>
      <c r="EM56" t="s">
        <v>6</v>
      </c>
      <c r="EO56" t="s">
        <v>6</v>
      </c>
      <c r="EQ56">
        <v>0</v>
      </c>
      <c r="ER56">
        <v>31</v>
      </c>
      <c r="ES56">
        <v>4.2799999999999994</v>
      </c>
      <c r="ET56">
        <v>0</v>
      </c>
      <c r="EU56">
        <v>0</v>
      </c>
      <c r="EV56">
        <v>0</v>
      </c>
      <c r="EW56">
        <v>0</v>
      </c>
      <c r="EX56">
        <v>0</v>
      </c>
      <c r="EZ56">
        <v>5</v>
      </c>
      <c r="FC56">
        <v>0</v>
      </c>
      <c r="FD56">
        <v>18</v>
      </c>
      <c r="FF56">
        <v>31</v>
      </c>
      <c r="FQ56">
        <v>0</v>
      </c>
      <c r="FR56">
        <f t="shared" si="73"/>
        <v>0</v>
      </c>
      <c r="FS56">
        <v>0</v>
      </c>
      <c r="FX56">
        <v>0</v>
      </c>
      <c r="FY56">
        <v>0</v>
      </c>
      <c r="GA56" t="s">
        <v>38</v>
      </c>
      <c r="GD56">
        <v>1</v>
      </c>
      <c r="GF56">
        <v>-386994921</v>
      </c>
      <c r="GG56">
        <v>2</v>
      </c>
      <c r="GH56">
        <v>3</v>
      </c>
      <c r="GI56">
        <v>5</v>
      </c>
      <c r="GJ56">
        <v>0</v>
      </c>
      <c r="GK56">
        <v>0</v>
      </c>
      <c r="GL56">
        <f t="shared" si="74"/>
        <v>0</v>
      </c>
      <c r="GM56">
        <f t="shared" si="75"/>
        <v>95</v>
      </c>
      <c r="GN56">
        <f t="shared" si="76"/>
        <v>95</v>
      </c>
      <c r="GO56">
        <f t="shared" si="77"/>
        <v>0</v>
      </c>
      <c r="GP56">
        <f t="shared" si="78"/>
        <v>0</v>
      </c>
      <c r="GR56">
        <v>1</v>
      </c>
      <c r="GS56">
        <v>1</v>
      </c>
      <c r="GT56">
        <v>0</v>
      </c>
      <c r="GU56" t="s">
        <v>6</v>
      </c>
      <c r="GV56">
        <f t="shared" si="79"/>
        <v>0</v>
      </c>
      <c r="GW56">
        <v>1</v>
      </c>
      <c r="GX56">
        <f t="shared" si="80"/>
        <v>0</v>
      </c>
      <c r="HA56">
        <v>0</v>
      </c>
      <c r="HB56">
        <v>0</v>
      </c>
      <c r="HC56">
        <f t="shared" si="81"/>
        <v>0</v>
      </c>
      <c r="HE56" t="s">
        <v>39</v>
      </c>
      <c r="HF56" t="s">
        <v>40</v>
      </c>
      <c r="HM56" t="s">
        <v>6</v>
      </c>
      <c r="HN56" t="s">
        <v>6</v>
      </c>
      <c r="HO56" t="s">
        <v>6</v>
      </c>
      <c r="HP56" t="s">
        <v>6</v>
      </c>
      <c r="HQ56" t="s">
        <v>6</v>
      </c>
      <c r="IF56">
        <v>-1</v>
      </c>
      <c r="IK56">
        <v>0</v>
      </c>
    </row>
    <row r="57" spans="1:255" x14ac:dyDescent="0.2">
      <c r="A57" s="2">
        <v>18</v>
      </c>
      <c r="B57" s="2">
        <v>1</v>
      </c>
      <c r="C57" s="2">
        <v>51</v>
      </c>
      <c r="D57" s="2"/>
      <c r="E57" s="2" t="s">
        <v>89</v>
      </c>
      <c r="F57" s="2" t="s">
        <v>73</v>
      </c>
      <c r="G57" s="2" t="s">
        <v>74</v>
      </c>
      <c r="H57" s="2" t="s">
        <v>75</v>
      </c>
      <c r="I57" s="2">
        <f>I49*J57</f>
        <v>0.50415900000000002</v>
      </c>
      <c r="J57" s="207">
        <f>'5.Ведомость_списания'!F44</f>
        <v>1.709998982464471E-2</v>
      </c>
      <c r="K57" s="2">
        <v>1.7100000000000001E-2</v>
      </c>
      <c r="L57" s="2"/>
      <c r="M57" s="2"/>
      <c r="N57" s="2"/>
      <c r="O57" s="2">
        <f t="shared" si="45"/>
        <v>4</v>
      </c>
      <c r="P57" s="2">
        <f t="shared" si="46"/>
        <v>4</v>
      </c>
      <c r="Q57" s="2">
        <f t="shared" si="47"/>
        <v>0</v>
      </c>
      <c r="R57" s="2">
        <f t="shared" si="48"/>
        <v>0</v>
      </c>
      <c r="S57" s="2">
        <f t="shared" si="49"/>
        <v>0</v>
      </c>
      <c r="T57" s="2">
        <f t="shared" si="50"/>
        <v>0</v>
      </c>
      <c r="U57" s="2">
        <f t="shared" si="51"/>
        <v>0</v>
      </c>
      <c r="V57" s="2">
        <f t="shared" si="52"/>
        <v>0</v>
      </c>
      <c r="W57" s="2">
        <f t="shared" si="53"/>
        <v>0</v>
      </c>
      <c r="X57" s="2">
        <f t="shared" si="54"/>
        <v>0</v>
      </c>
      <c r="Y57" s="2">
        <f t="shared" si="55"/>
        <v>0</v>
      </c>
      <c r="Z57" s="2"/>
      <c r="AA57" s="2">
        <v>74242616</v>
      </c>
      <c r="AB57" s="2">
        <f t="shared" si="56"/>
        <v>7.14</v>
      </c>
      <c r="AC57" s="2">
        <f t="shared" si="83"/>
        <v>7.14</v>
      </c>
      <c r="AD57" s="2">
        <f t="shared" si="83"/>
        <v>0</v>
      </c>
      <c r="AE57" s="2">
        <f t="shared" si="58"/>
        <v>0</v>
      </c>
      <c r="AF57" s="2">
        <f t="shared" si="59"/>
        <v>0</v>
      </c>
      <c r="AG57" s="2">
        <f t="shared" si="60"/>
        <v>0</v>
      </c>
      <c r="AH57" s="2">
        <f t="shared" si="61"/>
        <v>0</v>
      </c>
      <c r="AI57" s="2">
        <f t="shared" si="62"/>
        <v>0</v>
      </c>
      <c r="AJ57" s="2">
        <f t="shared" si="63"/>
        <v>0</v>
      </c>
      <c r="AK57" s="2">
        <v>7.14</v>
      </c>
      <c r="AL57" s="111">
        <f>'1.Лок.смета.и.Акт'!F114</f>
        <v>7.14</v>
      </c>
      <c r="AM57" s="2">
        <v>0</v>
      </c>
      <c r="AN57" s="2">
        <v>0</v>
      </c>
      <c r="AO57" s="2">
        <v>0</v>
      </c>
      <c r="AP57" s="2">
        <v>0</v>
      </c>
      <c r="AQ57" s="2">
        <v>0</v>
      </c>
      <c r="AR57" s="2">
        <v>0</v>
      </c>
      <c r="AS57" s="2">
        <v>0</v>
      </c>
      <c r="AT57" s="2">
        <v>0</v>
      </c>
      <c r="AU57" s="2">
        <v>0</v>
      </c>
      <c r="AV57" s="2">
        <v>1</v>
      </c>
      <c r="AW57" s="2">
        <v>1</v>
      </c>
      <c r="AX57" s="2"/>
      <c r="AY57" s="2"/>
      <c r="AZ57" s="2">
        <v>1</v>
      </c>
      <c r="BA57" s="2">
        <v>1</v>
      </c>
      <c r="BB57" s="2">
        <v>1</v>
      </c>
      <c r="BC57" s="2">
        <v>1</v>
      </c>
      <c r="BD57" s="2" t="s">
        <v>6</v>
      </c>
      <c r="BE57" s="2" t="s">
        <v>6</v>
      </c>
      <c r="BF57" s="2" t="s">
        <v>6</v>
      </c>
      <c r="BG57" s="2" t="s">
        <v>6</v>
      </c>
      <c r="BH57" s="2">
        <v>3</v>
      </c>
      <c r="BI57" s="2">
        <v>0</v>
      </c>
      <c r="BJ57" s="2" t="s">
        <v>76</v>
      </c>
      <c r="BK57" s="2"/>
      <c r="BL57" s="2"/>
      <c r="BM57" s="2">
        <v>3411</v>
      </c>
      <c r="BN57" s="2">
        <v>0</v>
      </c>
      <c r="BO57" s="2" t="s">
        <v>6</v>
      </c>
      <c r="BP57" s="2">
        <v>0</v>
      </c>
      <c r="BQ57" s="2">
        <v>0</v>
      </c>
      <c r="BR57" s="2">
        <v>0</v>
      </c>
      <c r="BS57" s="2">
        <v>1</v>
      </c>
      <c r="BT57" s="2">
        <v>1</v>
      </c>
      <c r="BU57" s="2">
        <v>1</v>
      </c>
      <c r="BV57" s="2">
        <v>1</v>
      </c>
      <c r="BW57" s="2">
        <v>1</v>
      </c>
      <c r="BX57" s="2">
        <v>1</v>
      </c>
      <c r="BY57" s="2" t="s">
        <v>6</v>
      </c>
      <c r="BZ57" s="2">
        <v>0</v>
      </c>
      <c r="CA57" s="2">
        <v>0</v>
      </c>
      <c r="CB57" s="2" t="s">
        <v>6</v>
      </c>
      <c r="CC57" s="2"/>
      <c r="CD57" s="2"/>
      <c r="CE57" s="2">
        <v>0</v>
      </c>
      <c r="CF57" s="2">
        <v>0</v>
      </c>
      <c r="CG57" s="2">
        <v>0</v>
      </c>
      <c r="CH57" s="2"/>
      <c r="CI57" s="2"/>
      <c r="CJ57" s="2"/>
      <c r="CK57" s="2"/>
      <c r="CL57" s="2"/>
      <c r="CM57" s="2">
        <v>0</v>
      </c>
      <c r="CN57" s="2" t="s">
        <v>6</v>
      </c>
      <c r="CO57" s="2">
        <v>0</v>
      </c>
      <c r="CP57" s="2">
        <f t="shared" si="64"/>
        <v>4</v>
      </c>
      <c r="CQ57" s="2">
        <f t="shared" si="65"/>
        <v>7.14</v>
      </c>
      <c r="CR57" s="2">
        <f t="shared" si="66"/>
        <v>0</v>
      </c>
      <c r="CS57" s="2">
        <f t="shared" si="67"/>
        <v>0</v>
      </c>
      <c r="CT57" s="2">
        <f t="shared" si="68"/>
        <v>0</v>
      </c>
      <c r="CU57" s="2">
        <f t="shared" si="69"/>
        <v>0</v>
      </c>
      <c r="CV57" s="2">
        <f t="shared" si="70"/>
        <v>0</v>
      </c>
      <c r="CW57" s="2">
        <f t="shared" si="71"/>
        <v>0</v>
      </c>
      <c r="CX57" s="2">
        <f t="shared" si="72"/>
        <v>0</v>
      </c>
      <c r="CY57" s="2">
        <f>0</f>
        <v>0</v>
      </c>
      <c r="CZ57" s="2">
        <f>0</f>
        <v>0</v>
      </c>
      <c r="DA57" s="2"/>
      <c r="DB57" s="2"/>
      <c r="DC57" s="2" t="s">
        <v>6</v>
      </c>
      <c r="DD57" s="2" t="s">
        <v>6</v>
      </c>
      <c r="DE57" s="2" t="s">
        <v>6</v>
      </c>
      <c r="DF57" s="2" t="s">
        <v>6</v>
      </c>
      <c r="DG57" s="2" t="s">
        <v>6</v>
      </c>
      <c r="DH57" s="2" t="s">
        <v>6</v>
      </c>
      <c r="DI57" s="2" t="s">
        <v>6</v>
      </c>
      <c r="DJ57" s="2" t="s">
        <v>6</v>
      </c>
      <c r="DK57" s="2" t="s">
        <v>6</v>
      </c>
      <c r="DL57" s="2" t="s">
        <v>6</v>
      </c>
      <c r="DM57" s="2" t="s">
        <v>6</v>
      </c>
      <c r="DN57" s="2">
        <v>0</v>
      </c>
      <c r="DO57" s="2">
        <v>0</v>
      </c>
      <c r="DP57" s="2">
        <v>1</v>
      </c>
      <c r="DQ57" s="2">
        <v>1</v>
      </c>
      <c r="DR57" s="2"/>
      <c r="DS57" s="2"/>
      <c r="DT57" s="2"/>
      <c r="DU57" s="2">
        <v>1007</v>
      </c>
      <c r="DV57" s="2" t="s">
        <v>75</v>
      </c>
      <c r="DW57" s="2" t="s">
        <v>75</v>
      </c>
      <c r="DX57" s="2">
        <v>1</v>
      </c>
      <c r="DY57" s="2"/>
      <c r="DZ57" s="2" t="s">
        <v>6</v>
      </c>
      <c r="EA57" s="2" t="s">
        <v>6</v>
      </c>
      <c r="EB57" s="2" t="s">
        <v>6</v>
      </c>
      <c r="EC57" s="2" t="s">
        <v>6</v>
      </c>
      <c r="ED57" s="2"/>
      <c r="EE57" s="2">
        <v>0</v>
      </c>
      <c r="EF57" s="2">
        <v>0</v>
      </c>
      <c r="EG57" s="2" t="s">
        <v>6</v>
      </c>
      <c r="EH57" s="2">
        <v>0</v>
      </c>
      <c r="EI57" s="2" t="s">
        <v>6</v>
      </c>
      <c r="EJ57" s="2">
        <v>0</v>
      </c>
      <c r="EK57" s="2">
        <v>3411</v>
      </c>
      <c r="EL57" s="2" t="s">
        <v>6</v>
      </c>
      <c r="EM57" s="2" t="s">
        <v>6</v>
      </c>
      <c r="EN57" s="2"/>
      <c r="EO57" s="2" t="s">
        <v>6</v>
      </c>
      <c r="EP57" s="2"/>
      <c r="EQ57" s="2">
        <v>0</v>
      </c>
      <c r="ER57" s="2">
        <v>7.14</v>
      </c>
      <c r="ES57" s="111">
        <f>'1.Лок.смета.и.Акт'!F114</f>
        <v>7.14</v>
      </c>
      <c r="ET57" s="2">
        <v>0</v>
      </c>
      <c r="EU57" s="2">
        <v>0</v>
      </c>
      <c r="EV57" s="2">
        <v>0</v>
      </c>
      <c r="EW57" s="2">
        <v>0</v>
      </c>
      <c r="EX57" s="2">
        <v>0</v>
      </c>
      <c r="EY57" s="2"/>
      <c r="EZ57" s="2"/>
      <c r="FA57" s="2"/>
      <c r="FB57" s="2"/>
      <c r="FC57" s="2"/>
      <c r="FD57" s="2"/>
      <c r="FE57" s="2"/>
      <c r="FF57" s="2"/>
      <c r="FG57" s="2"/>
      <c r="FH57" s="2"/>
      <c r="FI57" s="2"/>
      <c r="FJ57" s="2"/>
      <c r="FK57" s="2"/>
      <c r="FL57" s="2"/>
      <c r="FM57" s="2"/>
      <c r="FN57" s="2"/>
      <c r="FO57" s="2"/>
      <c r="FP57" s="2"/>
      <c r="FQ57" s="2">
        <v>0</v>
      </c>
      <c r="FR57" s="2">
        <f t="shared" si="73"/>
        <v>0</v>
      </c>
      <c r="FS57" s="2">
        <v>0</v>
      </c>
      <c r="FT57" s="2"/>
      <c r="FU57" s="2"/>
      <c r="FV57" s="2"/>
      <c r="FW57" s="2"/>
      <c r="FX57" s="2">
        <v>0</v>
      </c>
      <c r="FY57" s="2">
        <v>0</v>
      </c>
      <c r="FZ57" s="2"/>
      <c r="GA57" s="2" t="s">
        <v>6</v>
      </c>
      <c r="GB57" s="2"/>
      <c r="GC57" s="2"/>
      <c r="GD57" s="2">
        <v>1</v>
      </c>
      <c r="GE57" s="2"/>
      <c r="GF57" s="2">
        <v>1444665788</v>
      </c>
      <c r="GG57" s="2">
        <v>2</v>
      </c>
      <c r="GH57" s="2">
        <v>1</v>
      </c>
      <c r="GI57" s="2">
        <v>-2</v>
      </c>
      <c r="GJ57" s="2">
        <v>0</v>
      </c>
      <c r="GK57" s="2">
        <v>0</v>
      </c>
      <c r="GL57" s="2">
        <f t="shared" si="74"/>
        <v>0</v>
      </c>
      <c r="GM57" s="2">
        <f t="shared" si="75"/>
        <v>4</v>
      </c>
      <c r="GN57" s="2">
        <f t="shared" si="76"/>
        <v>4</v>
      </c>
      <c r="GO57" s="2">
        <f t="shared" si="77"/>
        <v>0</v>
      </c>
      <c r="GP57" s="2">
        <f t="shared" si="78"/>
        <v>0</v>
      </c>
      <c r="GQ57" s="2"/>
      <c r="GR57" s="2">
        <v>0</v>
      </c>
      <c r="GS57" s="2">
        <v>3</v>
      </c>
      <c r="GT57" s="2">
        <v>0</v>
      </c>
      <c r="GU57" s="2" t="s">
        <v>6</v>
      </c>
      <c r="GV57" s="2">
        <f t="shared" si="79"/>
        <v>0</v>
      </c>
      <c r="GW57" s="2">
        <v>1</v>
      </c>
      <c r="GX57" s="2">
        <f t="shared" si="80"/>
        <v>0</v>
      </c>
      <c r="GY57" s="2"/>
      <c r="GZ57" s="2"/>
      <c r="HA57" s="2">
        <v>0</v>
      </c>
      <c r="HB57" s="2">
        <v>0</v>
      </c>
      <c r="HC57" s="2">
        <f t="shared" si="81"/>
        <v>0</v>
      </c>
      <c r="HD57" s="2"/>
      <c r="HE57" s="2" t="s">
        <v>6</v>
      </c>
      <c r="HF57" s="2" t="s">
        <v>6</v>
      </c>
      <c r="HG57" s="2"/>
      <c r="HH57" s="2"/>
      <c r="HI57" s="2"/>
      <c r="HJ57" s="2"/>
      <c r="HK57" s="2"/>
      <c r="HL57" s="2"/>
      <c r="HM57" s="2" t="s">
        <v>6</v>
      </c>
      <c r="HN57" s="2" t="s">
        <v>6</v>
      </c>
      <c r="HO57" s="2" t="s">
        <v>6</v>
      </c>
      <c r="HP57" s="2" t="s">
        <v>6</v>
      </c>
      <c r="HQ57" s="2" t="s">
        <v>6</v>
      </c>
      <c r="HR57" s="2"/>
      <c r="HS57" s="2"/>
      <c r="HT57" s="2"/>
      <c r="HU57" s="2"/>
      <c r="HV57" s="2"/>
      <c r="HW57" s="2"/>
      <c r="HX57" s="2"/>
      <c r="HY57" s="2"/>
      <c r="HZ57" s="2"/>
      <c r="IA57" s="2"/>
      <c r="IB57" s="2"/>
      <c r="IC57" s="2"/>
      <c r="ID57" s="2"/>
      <c r="IE57" s="2"/>
      <c r="IF57" s="2">
        <v>-1</v>
      </c>
      <c r="IG57" s="2"/>
      <c r="IH57" s="2"/>
      <c r="II57" s="2"/>
      <c r="IJ57" s="2"/>
      <c r="IK57" s="2">
        <v>0</v>
      </c>
      <c r="IL57" s="2"/>
      <c r="IM57" s="2"/>
      <c r="IN57" s="2"/>
      <c r="IO57" s="2"/>
      <c r="IP57" s="2"/>
      <c r="IQ57" s="2"/>
      <c r="IR57" s="2"/>
      <c r="IS57" s="2"/>
      <c r="IT57" s="2"/>
      <c r="IU57" s="2"/>
    </row>
    <row r="58" spans="1:255" x14ac:dyDescent="0.2">
      <c r="A58">
        <v>18</v>
      </c>
      <c r="B58">
        <v>1</v>
      </c>
      <c r="C58">
        <v>60</v>
      </c>
      <c r="E58" t="s">
        <v>89</v>
      </c>
      <c r="F58" t="e">
        <f>'2.Лок.смета.и.Акт'!#REF!</f>
        <v>#REF!</v>
      </c>
      <c r="G58" t="s">
        <v>74</v>
      </c>
      <c r="H58" t="s">
        <v>75</v>
      </c>
      <c r="I58">
        <f>I50*J58</f>
        <v>0.50415900000000002</v>
      </c>
      <c r="J58">
        <v>1.709998982464471E-2</v>
      </c>
      <c r="K58">
        <v>1.7100000000000001E-2</v>
      </c>
      <c r="O58">
        <f t="shared" si="45"/>
        <v>8</v>
      </c>
      <c r="P58">
        <f t="shared" si="46"/>
        <v>8</v>
      </c>
      <c r="Q58">
        <f t="shared" si="47"/>
        <v>0</v>
      </c>
      <c r="R58">
        <f t="shared" si="48"/>
        <v>0</v>
      </c>
      <c r="S58">
        <f t="shared" si="49"/>
        <v>0</v>
      </c>
      <c r="T58">
        <f t="shared" si="50"/>
        <v>0</v>
      </c>
      <c r="U58">
        <f t="shared" si="51"/>
        <v>0</v>
      </c>
      <c r="V58">
        <f t="shared" si="52"/>
        <v>0</v>
      </c>
      <c r="W58">
        <f t="shared" si="53"/>
        <v>0</v>
      </c>
      <c r="X58">
        <f t="shared" si="54"/>
        <v>0</v>
      </c>
      <c r="Y58">
        <f t="shared" si="55"/>
        <v>0</v>
      </c>
      <c r="AA58">
        <v>74242617</v>
      </c>
      <c r="AB58">
        <f t="shared" si="56"/>
        <v>1.97</v>
      </c>
      <c r="AC58">
        <f t="shared" si="83"/>
        <v>1.97</v>
      </c>
      <c r="AD58">
        <f t="shared" si="83"/>
        <v>0</v>
      </c>
      <c r="AE58">
        <f t="shared" si="58"/>
        <v>0</v>
      </c>
      <c r="AF58">
        <f t="shared" si="59"/>
        <v>0</v>
      </c>
      <c r="AG58">
        <f t="shared" si="60"/>
        <v>0</v>
      </c>
      <c r="AH58">
        <f t="shared" si="61"/>
        <v>0</v>
      </c>
      <c r="AI58">
        <f t="shared" si="62"/>
        <v>0</v>
      </c>
      <c r="AJ58">
        <f t="shared" si="63"/>
        <v>0</v>
      </c>
      <c r="AK58">
        <v>1.97</v>
      </c>
      <c r="AL58">
        <v>1.97</v>
      </c>
      <c r="AM58">
        <v>0</v>
      </c>
      <c r="AN58">
        <v>0</v>
      </c>
      <c r="AO58">
        <v>0</v>
      </c>
      <c r="AP58">
        <v>0</v>
      </c>
      <c r="AQ58">
        <v>0</v>
      </c>
      <c r="AR58">
        <v>0</v>
      </c>
      <c r="AS58">
        <v>0</v>
      </c>
      <c r="AT58">
        <v>0</v>
      </c>
      <c r="AU58">
        <v>0</v>
      </c>
      <c r="AV58">
        <v>1</v>
      </c>
      <c r="AW58">
        <v>1</v>
      </c>
      <c r="AZ58">
        <v>1</v>
      </c>
      <c r="BA58">
        <v>1</v>
      </c>
      <c r="BB58">
        <v>1</v>
      </c>
      <c r="BC58">
        <v>7.56</v>
      </c>
      <c r="BD58" t="s">
        <v>6</v>
      </c>
      <c r="BE58" t="s">
        <v>6</v>
      </c>
      <c r="BF58" t="s">
        <v>6</v>
      </c>
      <c r="BG58" t="s">
        <v>6</v>
      </c>
      <c r="BH58">
        <v>3</v>
      </c>
      <c r="BI58">
        <v>0</v>
      </c>
      <c r="BJ58" t="s">
        <v>76</v>
      </c>
      <c r="BM58">
        <v>3411</v>
      </c>
      <c r="BN58">
        <v>0</v>
      </c>
      <c r="BO58" t="s">
        <v>6</v>
      </c>
      <c r="BP58">
        <v>0</v>
      </c>
      <c r="BQ58">
        <v>0</v>
      </c>
      <c r="BR58">
        <v>0</v>
      </c>
      <c r="BS58">
        <v>1</v>
      </c>
      <c r="BT58">
        <v>1</v>
      </c>
      <c r="BU58">
        <v>1</v>
      </c>
      <c r="BV58">
        <v>1</v>
      </c>
      <c r="BW58">
        <v>1</v>
      </c>
      <c r="BX58">
        <v>1</v>
      </c>
      <c r="BY58" t="s">
        <v>6</v>
      </c>
      <c r="BZ58">
        <v>0</v>
      </c>
      <c r="CA58">
        <v>0</v>
      </c>
      <c r="CB58" t="s">
        <v>6</v>
      </c>
      <c r="CE58">
        <v>0</v>
      </c>
      <c r="CF58">
        <v>0</v>
      </c>
      <c r="CG58">
        <v>0</v>
      </c>
      <c r="CM58">
        <v>0</v>
      </c>
      <c r="CN58" t="s">
        <v>6</v>
      </c>
      <c r="CO58">
        <v>0</v>
      </c>
      <c r="CP58">
        <f t="shared" si="64"/>
        <v>8</v>
      </c>
      <c r="CQ58">
        <f t="shared" si="65"/>
        <v>14.893199999999998</v>
      </c>
      <c r="CR58">
        <f t="shared" si="66"/>
        <v>0</v>
      </c>
      <c r="CS58">
        <f t="shared" si="67"/>
        <v>0</v>
      </c>
      <c r="CT58">
        <f t="shared" si="68"/>
        <v>0</v>
      </c>
      <c r="CU58">
        <f t="shared" si="69"/>
        <v>0</v>
      </c>
      <c r="CV58">
        <f t="shared" si="70"/>
        <v>0</v>
      </c>
      <c r="CW58">
        <f t="shared" si="71"/>
        <v>0</v>
      </c>
      <c r="CX58">
        <f t="shared" si="72"/>
        <v>0</v>
      </c>
      <c r="CY58">
        <f>(S58+R58)*(BZ58/100)</f>
        <v>0</v>
      </c>
      <c r="CZ58">
        <f>(S58+R58)*(CA58/100)</f>
        <v>0</v>
      </c>
      <c r="DC58" t="s">
        <v>6</v>
      </c>
      <c r="DD58" t="s">
        <v>6</v>
      </c>
      <c r="DE58" t="s">
        <v>6</v>
      </c>
      <c r="DF58" t="s">
        <v>6</v>
      </c>
      <c r="DG58" t="s">
        <v>6</v>
      </c>
      <c r="DH58" t="s">
        <v>6</v>
      </c>
      <c r="DI58" t="s">
        <v>6</v>
      </c>
      <c r="DJ58" t="s">
        <v>6</v>
      </c>
      <c r="DK58" t="s">
        <v>6</v>
      </c>
      <c r="DL58" t="s">
        <v>6</v>
      </c>
      <c r="DM58" t="s">
        <v>6</v>
      </c>
      <c r="DN58">
        <v>0</v>
      </c>
      <c r="DO58">
        <v>0</v>
      </c>
      <c r="DP58">
        <v>1</v>
      </c>
      <c r="DQ58">
        <v>1</v>
      </c>
      <c r="DU58">
        <v>1007</v>
      </c>
      <c r="DV58" t="s">
        <v>75</v>
      </c>
      <c r="DW58" t="e">
        <f>'2.Лок.смета.и.Акт'!#REF!</f>
        <v>#REF!</v>
      </c>
      <c r="DX58">
        <v>1</v>
      </c>
      <c r="DZ58" t="s">
        <v>6</v>
      </c>
      <c r="EA58" t="s">
        <v>6</v>
      </c>
      <c r="EB58" t="s">
        <v>6</v>
      </c>
      <c r="EC58" t="s">
        <v>6</v>
      </c>
      <c r="EE58">
        <v>0</v>
      </c>
      <c r="EF58">
        <v>0</v>
      </c>
      <c r="EG58" t="s">
        <v>6</v>
      </c>
      <c r="EH58">
        <v>0</v>
      </c>
      <c r="EI58" t="s">
        <v>6</v>
      </c>
      <c r="EJ58">
        <v>0</v>
      </c>
      <c r="EK58">
        <v>3411</v>
      </c>
      <c r="EL58" t="s">
        <v>6</v>
      </c>
      <c r="EM58" t="s">
        <v>6</v>
      </c>
      <c r="EO58" t="s">
        <v>6</v>
      </c>
      <c r="EQ58">
        <v>0</v>
      </c>
      <c r="ER58">
        <v>14.19</v>
      </c>
      <c r="ES58">
        <v>1.97</v>
      </c>
      <c r="ET58">
        <v>0</v>
      </c>
      <c r="EU58">
        <v>0</v>
      </c>
      <c r="EV58">
        <v>0</v>
      </c>
      <c r="EW58">
        <v>0</v>
      </c>
      <c r="EX58">
        <v>0</v>
      </c>
      <c r="EZ58">
        <v>5</v>
      </c>
      <c r="FC58">
        <v>0</v>
      </c>
      <c r="FD58">
        <v>18</v>
      </c>
      <c r="FF58">
        <v>14.19</v>
      </c>
      <c r="FQ58">
        <v>0</v>
      </c>
      <c r="FR58">
        <f t="shared" si="73"/>
        <v>0</v>
      </c>
      <c r="FS58">
        <v>0</v>
      </c>
      <c r="FX58">
        <v>0</v>
      </c>
      <c r="FY58">
        <v>0</v>
      </c>
      <c r="GA58" t="s">
        <v>77</v>
      </c>
      <c r="GD58">
        <v>1</v>
      </c>
      <c r="GF58">
        <v>1444665788</v>
      </c>
      <c r="GG58">
        <v>2</v>
      </c>
      <c r="GH58">
        <v>3</v>
      </c>
      <c r="GI58">
        <v>5</v>
      </c>
      <c r="GJ58">
        <v>0</v>
      </c>
      <c r="GK58">
        <v>0</v>
      </c>
      <c r="GL58">
        <f t="shared" si="74"/>
        <v>0</v>
      </c>
      <c r="GM58">
        <f t="shared" si="75"/>
        <v>8</v>
      </c>
      <c r="GN58">
        <f t="shared" si="76"/>
        <v>8</v>
      </c>
      <c r="GO58">
        <f t="shared" si="77"/>
        <v>0</v>
      </c>
      <c r="GP58">
        <f t="shared" si="78"/>
        <v>0</v>
      </c>
      <c r="GR58">
        <v>1</v>
      </c>
      <c r="GS58">
        <v>1</v>
      </c>
      <c r="GT58">
        <v>0</v>
      </c>
      <c r="GU58" t="s">
        <v>6</v>
      </c>
      <c r="GV58">
        <f t="shared" si="79"/>
        <v>0</v>
      </c>
      <c r="GW58">
        <v>1</v>
      </c>
      <c r="GX58">
        <f t="shared" si="80"/>
        <v>0</v>
      </c>
      <c r="HA58">
        <v>0</v>
      </c>
      <c r="HB58">
        <v>0</v>
      </c>
      <c r="HC58">
        <f t="shared" si="81"/>
        <v>0</v>
      </c>
      <c r="HE58" t="s">
        <v>39</v>
      </c>
      <c r="HF58" t="s">
        <v>40</v>
      </c>
      <c r="HM58" t="s">
        <v>6</v>
      </c>
      <c r="HN58" t="s">
        <v>6</v>
      </c>
      <c r="HO58" t="s">
        <v>6</v>
      </c>
      <c r="HP58" t="s">
        <v>6</v>
      </c>
      <c r="HQ58" t="s">
        <v>6</v>
      </c>
      <c r="IF58">
        <v>-1</v>
      </c>
      <c r="IK58">
        <v>0</v>
      </c>
    </row>
    <row r="59" spans="1:255" x14ac:dyDescent="0.2">
      <c r="A59" s="2">
        <v>17</v>
      </c>
      <c r="B59" s="2">
        <v>1</v>
      </c>
      <c r="C59" s="2">
        <f>ROW(SmtRes!A66)</f>
        <v>66</v>
      </c>
      <c r="D59" s="2">
        <f>ROW(EtalonRes!A66)</f>
        <v>66</v>
      </c>
      <c r="E59" s="2" t="s">
        <v>90</v>
      </c>
      <c r="F59" s="2" t="s">
        <v>48</v>
      </c>
      <c r="G59" s="2" t="s">
        <v>91</v>
      </c>
      <c r="H59" s="2" t="s">
        <v>50</v>
      </c>
      <c r="I59" s="2">
        <f>'2.Лок.смета.и.Акт'!E33</f>
        <v>20.509</v>
      </c>
      <c r="J59" s="2">
        <v>0</v>
      </c>
      <c r="K59" s="2">
        <v>20.509</v>
      </c>
      <c r="L59" s="2"/>
      <c r="M59" s="2"/>
      <c r="N59" s="2"/>
      <c r="O59" s="2">
        <f t="shared" si="45"/>
        <v>239</v>
      </c>
      <c r="P59" s="2">
        <f t="shared" si="46"/>
        <v>0</v>
      </c>
      <c r="Q59" s="2">
        <f t="shared" si="47"/>
        <v>20</v>
      </c>
      <c r="R59" s="2">
        <f t="shared" si="48"/>
        <v>1</v>
      </c>
      <c r="S59" s="2">
        <f t="shared" si="49"/>
        <v>219</v>
      </c>
      <c r="T59" s="2">
        <f t="shared" si="50"/>
        <v>0</v>
      </c>
      <c r="U59" s="2">
        <f t="shared" si="51"/>
        <v>22.559900000000003</v>
      </c>
      <c r="V59" s="2">
        <f t="shared" si="52"/>
        <v>0.20508999999999999</v>
      </c>
      <c r="W59" s="2">
        <f t="shared" si="53"/>
        <v>0</v>
      </c>
      <c r="X59" s="2">
        <f t="shared" si="54"/>
        <v>231</v>
      </c>
      <c r="Y59" s="2">
        <f t="shared" si="55"/>
        <v>121</v>
      </c>
      <c r="Z59" s="2"/>
      <c r="AA59" s="2">
        <v>74242616</v>
      </c>
      <c r="AB59" s="2">
        <f t="shared" si="56"/>
        <v>11.66</v>
      </c>
      <c r="AC59" s="2">
        <f>ROUND((ES59+(SUM(SmtRes!BC61:'SmtRes'!BC66)+SUM(EtalonRes!AL61:'EtalonRes'!AL66))),2)</f>
        <v>0</v>
      </c>
      <c r="AD59" s="2">
        <f t="shared" ref="AD59:AD66" si="84">ROUND((((ET59)-(EU59))+AE59),2)</f>
        <v>0.99</v>
      </c>
      <c r="AE59" s="2">
        <f t="shared" si="58"/>
        <v>0.03</v>
      </c>
      <c r="AF59" s="2">
        <f t="shared" si="59"/>
        <v>10.67</v>
      </c>
      <c r="AG59" s="2">
        <f t="shared" si="60"/>
        <v>0</v>
      </c>
      <c r="AH59" s="2">
        <f t="shared" si="61"/>
        <v>1.1000000000000001</v>
      </c>
      <c r="AI59" s="2">
        <f t="shared" si="62"/>
        <v>0.01</v>
      </c>
      <c r="AJ59" s="2">
        <f t="shared" si="63"/>
        <v>0</v>
      </c>
      <c r="AK59" s="2">
        <v>11.84</v>
      </c>
      <c r="AL59" s="2">
        <v>0.18</v>
      </c>
      <c r="AM59" s="2">
        <v>0.99</v>
      </c>
      <c r="AN59" s="2">
        <v>0.03</v>
      </c>
      <c r="AO59" s="2">
        <v>10.67</v>
      </c>
      <c r="AP59" s="2">
        <v>0</v>
      </c>
      <c r="AQ59" s="2">
        <v>1.1000000000000001</v>
      </c>
      <c r="AR59" s="2">
        <v>0.01</v>
      </c>
      <c r="AS59" s="2">
        <v>0</v>
      </c>
      <c r="AT59" s="2">
        <v>105</v>
      </c>
      <c r="AU59" s="2">
        <v>55</v>
      </c>
      <c r="AV59" s="2">
        <v>1</v>
      </c>
      <c r="AW59" s="2">
        <v>1</v>
      </c>
      <c r="AX59" s="2"/>
      <c r="AY59" s="2"/>
      <c r="AZ59" s="2">
        <v>1</v>
      </c>
      <c r="BA59" s="2">
        <v>1</v>
      </c>
      <c r="BB59" s="2">
        <v>1</v>
      </c>
      <c r="BC59" s="2">
        <v>1</v>
      </c>
      <c r="BD59" s="2" t="s">
        <v>6</v>
      </c>
      <c r="BE59" s="2" t="s">
        <v>6</v>
      </c>
      <c r="BF59" s="2" t="s">
        <v>6</v>
      </c>
      <c r="BG59" s="2" t="s">
        <v>6</v>
      </c>
      <c r="BH59" s="2">
        <v>0</v>
      </c>
      <c r="BI59" s="2">
        <v>1</v>
      </c>
      <c r="BJ59" s="2" t="s">
        <v>51</v>
      </c>
      <c r="BK59" s="2"/>
      <c r="BL59" s="2"/>
      <c r="BM59" s="2">
        <v>24</v>
      </c>
      <c r="BN59" s="2">
        <v>0</v>
      </c>
      <c r="BO59" s="2" t="s">
        <v>6</v>
      </c>
      <c r="BP59" s="2">
        <v>0</v>
      </c>
      <c r="BQ59" s="2">
        <v>2</v>
      </c>
      <c r="BR59" s="2">
        <v>0</v>
      </c>
      <c r="BS59" s="2">
        <v>1</v>
      </c>
      <c r="BT59" s="2">
        <v>1</v>
      </c>
      <c r="BU59" s="2">
        <v>1</v>
      </c>
      <c r="BV59" s="2">
        <v>1</v>
      </c>
      <c r="BW59" s="2">
        <v>1</v>
      </c>
      <c r="BX59" s="2">
        <v>1</v>
      </c>
      <c r="BY59" s="2" t="s">
        <v>6</v>
      </c>
      <c r="BZ59" s="2">
        <v>105</v>
      </c>
      <c r="CA59" s="2">
        <v>55</v>
      </c>
      <c r="CB59" s="2" t="s">
        <v>6</v>
      </c>
      <c r="CC59" s="2"/>
      <c r="CD59" s="2"/>
      <c r="CE59" s="2">
        <v>0</v>
      </c>
      <c r="CF59" s="2">
        <v>0</v>
      </c>
      <c r="CG59" s="2">
        <v>0</v>
      </c>
      <c r="CH59" s="2"/>
      <c r="CI59" s="2"/>
      <c r="CJ59" s="2"/>
      <c r="CK59" s="2"/>
      <c r="CL59" s="2"/>
      <c r="CM59" s="2">
        <v>0</v>
      </c>
      <c r="CN59" s="2" t="s">
        <v>6</v>
      </c>
      <c r="CO59" s="2">
        <v>0</v>
      </c>
      <c r="CP59" s="2">
        <f t="shared" si="64"/>
        <v>239</v>
      </c>
      <c r="CQ59" s="2">
        <f t="shared" si="65"/>
        <v>0</v>
      </c>
      <c r="CR59" s="2">
        <f t="shared" si="66"/>
        <v>0.99</v>
      </c>
      <c r="CS59" s="2">
        <f t="shared" si="67"/>
        <v>0.03</v>
      </c>
      <c r="CT59" s="2">
        <f t="shared" si="68"/>
        <v>10.67</v>
      </c>
      <c r="CU59" s="2">
        <f t="shared" si="69"/>
        <v>0</v>
      </c>
      <c r="CV59" s="2">
        <f t="shared" si="70"/>
        <v>1.1000000000000001</v>
      </c>
      <c r="CW59" s="2">
        <f t="shared" si="71"/>
        <v>0.01</v>
      </c>
      <c r="CX59" s="2">
        <f t="shared" si="72"/>
        <v>0</v>
      </c>
      <c r="CY59" s="2">
        <f>(((S59+R59)*AT59)/100)</f>
        <v>231</v>
      </c>
      <c r="CZ59" s="2">
        <f>(((S59+R59)*AU59)/100)</f>
        <v>121</v>
      </c>
      <c r="DA59" s="2"/>
      <c r="DB59" s="2"/>
      <c r="DC59" s="2" t="s">
        <v>6</v>
      </c>
      <c r="DD59" s="2" t="s">
        <v>6</v>
      </c>
      <c r="DE59" s="2" t="s">
        <v>6</v>
      </c>
      <c r="DF59" s="2" t="s">
        <v>6</v>
      </c>
      <c r="DG59" s="2" t="s">
        <v>6</v>
      </c>
      <c r="DH59" s="2" t="s">
        <v>6</v>
      </c>
      <c r="DI59" s="2" t="s">
        <v>6</v>
      </c>
      <c r="DJ59" s="2" t="s">
        <v>6</v>
      </c>
      <c r="DK59" s="2" t="s">
        <v>6</v>
      </c>
      <c r="DL59" s="2" t="s">
        <v>6</v>
      </c>
      <c r="DM59" s="2" t="s">
        <v>6</v>
      </c>
      <c r="DN59" s="2">
        <v>0</v>
      </c>
      <c r="DO59" s="2">
        <v>0</v>
      </c>
      <c r="DP59" s="2">
        <v>1</v>
      </c>
      <c r="DQ59" s="2">
        <v>1</v>
      </c>
      <c r="DR59" s="2"/>
      <c r="DS59" s="2"/>
      <c r="DT59" s="2"/>
      <c r="DU59" s="2">
        <v>1005</v>
      </c>
      <c r="DV59" s="2" t="s">
        <v>50</v>
      </c>
      <c r="DW59" s="2" t="s">
        <v>50</v>
      </c>
      <c r="DX59" s="2">
        <v>100</v>
      </c>
      <c r="DY59" s="2"/>
      <c r="DZ59" s="2" t="s">
        <v>6</v>
      </c>
      <c r="EA59" s="2" t="s">
        <v>6</v>
      </c>
      <c r="EB59" s="2" t="s">
        <v>6</v>
      </c>
      <c r="EC59" s="2" t="s">
        <v>6</v>
      </c>
      <c r="ED59" s="2"/>
      <c r="EE59" s="2">
        <v>54328923</v>
      </c>
      <c r="EF59" s="2">
        <v>2</v>
      </c>
      <c r="EG59" s="2" t="s">
        <v>25</v>
      </c>
      <c r="EH59" s="2">
        <v>0</v>
      </c>
      <c r="EI59" s="2" t="s">
        <v>6</v>
      </c>
      <c r="EJ59" s="2">
        <v>1</v>
      </c>
      <c r="EK59" s="2">
        <v>24</v>
      </c>
      <c r="EL59" s="2" t="s">
        <v>26</v>
      </c>
      <c r="EM59" s="2" t="s">
        <v>52</v>
      </c>
      <c r="EN59" s="2"/>
      <c r="EO59" s="2" t="s">
        <v>6</v>
      </c>
      <c r="EP59" s="2"/>
      <c r="EQ59" s="2">
        <v>131072</v>
      </c>
      <c r="ER59" s="2">
        <v>11.84</v>
      </c>
      <c r="ES59" s="2">
        <v>0.18</v>
      </c>
      <c r="ET59" s="2">
        <v>0.99</v>
      </c>
      <c r="EU59" s="2">
        <v>0.03</v>
      </c>
      <c r="EV59" s="2">
        <v>10.67</v>
      </c>
      <c r="EW59" s="2">
        <v>1.1000000000000001</v>
      </c>
      <c r="EX59" s="2">
        <v>0.01</v>
      </c>
      <c r="EY59" s="2">
        <v>1</v>
      </c>
      <c r="EZ59" s="2"/>
      <c r="FA59" s="2"/>
      <c r="FB59" s="2"/>
      <c r="FC59" s="2"/>
      <c r="FD59" s="2"/>
      <c r="FE59" s="2"/>
      <c r="FF59" s="2"/>
      <c r="FG59" s="2"/>
      <c r="FH59" s="2"/>
      <c r="FI59" s="2"/>
      <c r="FJ59" s="2"/>
      <c r="FK59" s="2"/>
      <c r="FL59" s="2"/>
      <c r="FM59" s="2"/>
      <c r="FN59" s="2"/>
      <c r="FO59" s="2"/>
      <c r="FP59" s="2"/>
      <c r="FQ59" s="2">
        <v>0</v>
      </c>
      <c r="FR59" s="2">
        <f t="shared" si="73"/>
        <v>0</v>
      </c>
      <c r="FS59" s="2">
        <v>0</v>
      </c>
      <c r="FT59" s="2"/>
      <c r="FU59" s="2"/>
      <c r="FV59" s="2"/>
      <c r="FW59" s="2"/>
      <c r="FX59" s="2">
        <v>105</v>
      </c>
      <c r="FY59" s="2">
        <v>55</v>
      </c>
      <c r="FZ59" s="2"/>
      <c r="GA59" s="2" t="s">
        <v>6</v>
      </c>
      <c r="GB59" s="2"/>
      <c r="GC59" s="2"/>
      <c r="GD59" s="2">
        <v>1</v>
      </c>
      <c r="GE59" s="2"/>
      <c r="GF59" s="2">
        <v>1497412268</v>
      </c>
      <c r="GG59" s="2">
        <v>2</v>
      </c>
      <c r="GH59" s="2">
        <v>1</v>
      </c>
      <c r="GI59" s="2">
        <v>-2</v>
      </c>
      <c r="GJ59" s="2">
        <v>0</v>
      </c>
      <c r="GK59" s="2">
        <v>0</v>
      </c>
      <c r="GL59" s="2">
        <f t="shared" si="74"/>
        <v>0</v>
      </c>
      <c r="GM59" s="2">
        <f t="shared" si="75"/>
        <v>591</v>
      </c>
      <c r="GN59" s="2">
        <f t="shared" si="76"/>
        <v>591</v>
      </c>
      <c r="GO59" s="2">
        <f t="shared" si="77"/>
        <v>0</v>
      </c>
      <c r="GP59" s="2">
        <f t="shared" si="78"/>
        <v>0</v>
      </c>
      <c r="GQ59" s="2"/>
      <c r="GR59" s="2">
        <v>0</v>
      </c>
      <c r="GS59" s="2">
        <v>3</v>
      </c>
      <c r="GT59" s="2">
        <v>0</v>
      </c>
      <c r="GU59" s="2" t="s">
        <v>6</v>
      </c>
      <c r="GV59" s="2">
        <f t="shared" si="79"/>
        <v>0</v>
      </c>
      <c r="GW59" s="2">
        <v>1</v>
      </c>
      <c r="GX59" s="2">
        <f t="shared" si="80"/>
        <v>0</v>
      </c>
      <c r="GY59" s="2"/>
      <c r="GZ59" s="2"/>
      <c r="HA59" s="2">
        <v>0</v>
      </c>
      <c r="HB59" s="2">
        <v>0</v>
      </c>
      <c r="HC59" s="2">
        <f t="shared" si="81"/>
        <v>0</v>
      </c>
      <c r="HD59" s="2"/>
      <c r="HE59" s="2" t="s">
        <v>6</v>
      </c>
      <c r="HF59" s="2" t="s">
        <v>6</v>
      </c>
      <c r="HG59" s="2"/>
      <c r="HH59" s="2"/>
      <c r="HI59" s="2"/>
      <c r="HJ59" s="2"/>
      <c r="HK59" s="2"/>
      <c r="HL59" s="2"/>
      <c r="HM59" s="2" t="s">
        <v>6</v>
      </c>
      <c r="HN59" s="2" t="s">
        <v>6</v>
      </c>
      <c r="HO59" s="2" t="s">
        <v>6</v>
      </c>
      <c r="HP59" s="2" t="s">
        <v>6</v>
      </c>
      <c r="HQ59" s="2" t="s">
        <v>6</v>
      </c>
      <c r="HR59" s="2"/>
      <c r="HS59" s="2"/>
      <c r="HT59" s="2"/>
      <c r="HU59" s="2"/>
      <c r="HV59" s="2"/>
      <c r="HW59" s="2"/>
      <c r="HX59" s="2"/>
      <c r="HY59" s="2"/>
      <c r="HZ59" s="2"/>
      <c r="IA59" s="2"/>
      <c r="IB59" s="2"/>
      <c r="IC59" s="2"/>
      <c r="ID59" s="2"/>
      <c r="IE59" s="2"/>
      <c r="IF59" s="2">
        <v>-1</v>
      </c>
      <c r="IG59" s="2"/>
      <c r="IH59" s="2"/>
      <c r="II59" s="2"/>
      <c r="IJ59" s="2"/>
      <c r="IK59" s="2">
        <v>0</v>
      </c>
      <c r="IL59" s="2"/>
      <c r="IM59" s="2"/>
      <c r="IN59" s="2"/>
      <c r="IO59" s="2"/>
      <c r="IP59" s="2"/>
      <c r="IQ59" s="2"/>
      <c r="IR59" s="2"/>
      <c r="IS59" s="2"/>
      <c r="IT59" s="2"/>
      <c r="IU59" s="2"/>
    </row>
    <row r="60" spans="1:255" x14ac:dyDescent="0.2">
      <c r="A60">
        <v>17</v>
      </c>
      <c r="B60">
        <v>1</v>
      </c>
      <c r="C60">
        <f>ROW(SmtRes!A72)</f>
        <v>72</v>
      </c>
      <c r="D60">
        <f>ROW(EtalonRes!A72)</f>
        <v>72</v>
      </c>
      <c r="E60" t="s">
        <v>90</v>
      </c>
      <c r="F60" t="s">
        <v>48</v>
      </c>
      <c r="G60" t="s">
        <v>91</v>
      </c>
      <c r="H60" t="s">
        <v>50</v>
      </c>
      <c r="I60">
        <f>'2.Лок.смета.и.Акт'!E33</f>
        <v>20.509</v>
      </c>
      <c r="J60">
        <v>0</v>
      </c>
      <c r="K60">
        <v>20.509</v>
      </c>
      <c r="O60">
        <f t="shared" si="45"/>
        <v>8616</v>
      </c>
      <c r="P60">
        <f t="shared" si="46"/>
        <v>0</v>
      </c>
      <c r="Q60">
        <f t="shared" si="47"/>
        <v>259</v>
      </c>
      <c r="R60">
        <f t="shared" si="48"/>
        <v>19</v>
      </c>
      <c r="S60">
        <f t="shared" si="49"/>
        <v>8357</v>
      </c>
      <c r="T60">
        <f t="shared" si="50"/>
        <v>0</v>
      </c>
      <c r="U60" t="e">
        <f t="shared" si="51"/>
        <v>#REF!</v>
      </c>
      <c r="V60">
        <f t="shared" si="52"/>
        <v>0.20508999999999999</v>
      </c>
      <c r="W60">
        <f t="shared" si="53"/>
        <v>0</v>
      </c>
      <c r="X60" t="e">
        <f t="shared" si="54"/>
        <v>#REF!</v>
      </c>
      <c r="Y60" t="e">
        <f t="shared" si="55"/>
        <v>#REF!</v>
      </c>
      <c r="AA60">
        <v>74242617</v>
      </c>
      <c r="AB60">
        <f t="shared" si="56"/>
        <v>11.66</v>
      </c>
      <c r="AC60">
        <f>ROUND((ES60+(SUM(SmtRes!BC67:'SmtRes'!BC72)+SUM(EtalonRes!AL67:'EtalonRes'!AL72))),2)</f>
        <v>0</v>
      </c>
      <c r="AD60">
        <f t="shared" si="84"/>
        <v>0.99</v>
      </c>
      <c r="AE60">
        <f t="shared" si="58"/>
        <v>0.03</v>
      </c>
      <c r="AF60">
        <f t="shared" si="59"/>
        <v>10.67</v>
      </c>
      <c r="AG60">
        <f t="shared" si="60"/>
        <v>0</v>
      </c>
      <c r="AH60" t="e">
        <f t="shared" si="61"/>
        <v>#REF!</v>
      </c>
      <c r="AI60">
        <f t="shared" si="62"/>
        <v>0.01</v>
      </c>
      <c r="AJ60">
        <f t="shared" si="63"/>
        <v>0</v>
      </c>
      <c r="AK60">
        <f>AL60+AM60+AO60</f>
        <v>11.84</v>
      </c>
      <c r="AL60">
        <v>0.18</v>
      </c>
      <c r="AM60" s="76">
        <f>'1.Лок.смета.и.Акт'!F121</f>
        <v>0.99</v>
      </c>
      <c r="AN60" s="76">
        <f>'1.Лок.смета.и.Акт'!F122</f>
        <v>0.03</v>
      </c>
      <c r="AO60" s="76">
        <f>'1.Лок.смета.и.Акт'!F120</f>
        <v>10.67</v>
      </c>
      <c r="AP60">
        <v>0</v>
      </c>
      <c r="AQ60" t="e">
        <f>'2.Лок.смета.и.Акт'!#REF!</f>
        <v>#REF!</v>
      </c>
      <c r="AR60">
        <v>0.01</v>
      </c>
      <c r="AS60">
        <v>0</v>
      </c>
      <c r="AT60">
        <v>105</v>
      </c>
      <c r="AU60">
        <v>55</v>
      </c>
      <c r="AV60">
        <v>1</v>
      </c>
      <c r="AW60">
        <v>1</v>
      </c>
      <c r="AZ60">
        <v>1</v>
      </c>
      <c r="BA60">
        <f>'1.Лок.смета.и.Акт'!J120</f>
        <v>38.19</v>
      </c>
      <c r="BB60">
        <f>'1.Лок.смета.и.Акт'!J121</f>
        <v>12.77</v>
      </c>
      <c r="BC60">
        <v>7.56</v>
      </c>
      <c r="BD60" t="s">
        <v>6</v>
      </c>
      <c r="BE60" t="s">
        <v>6</v>
      </c>
      <c r="BF60" t="s">
        <v>6</v>
      </c>
      <c r="BG60" t="s">
        <v>6</v>
      </c>
      <c r="BH60">
        <v>0</v>
      </c>
      <c r="BI60">
        <v>1</v>
      </c>
      <c r="BJ60" t="s">
        <v>51</v>
      </c>
      <c r="BM60">
        <v>24</v>
      </c>
      <c r="BN60">
        <v>0</v>
      </c>
      <c r="BO60" t="s">
        <v>48</v>
      </c>
      <c r="BP60">
        <v>1</v>
      </c>
      <c r="BQ60">
        <v>2</v>
      </c>
      <c r="BR60">
        <v>0</v>
      </c>
      <c r="BS60">
        <f>'1.Лок.смета.и.Акт'!J122</f>
        <v>30.1</v>
      </c>
      <c r="BT60">
        <v>1</v>
      </c>
      <c r="BU60">
        <v>1</v>
      </c>
      <c r="BV60">
        <v>1</v>
      </c>
      <c r="BW60">
        <v>1</v>
      </c>
      <c r="BX60">
        <v>1</v>
      </c>
      <c r="BY60" t="s">
        <v>6</v>
      </c>
      <c r="BZ60" t="e">
        <f>'2.Лок.смета.и.Акт'!#REF!</f>
        <v>#REF!</v>
      </c>
      <c r="CA60" t="e">
        <f>'2.Лок.смета.и.Акт'!#REF!</f>
        <v>#REF!</v>
      </c>
      <c r="CB60" t="s">
        <v>6</v>
      </c>
      <c r="CE60">
        <v>0</v>
      </c>
      <c r="CF60">
        <v>0</v>
      </c>
      <c r="CG60">
        <v>0</v>
      </c>
      <c r="CM60">
        <v>0</v>
      </c>
      <c r="CN60" t="s">
        <v>6</v>
      </c>
      <c r="CO60">
        <v>0</v>
      </c>
      <c r="CP60">
        <f t="shared" si="64"/>
        <v>8616</v>
      </c>
      <c r="CQ60">
        <f t="shared" si="65"/>
        <v>0</v>
      </c>
      <c r="CR60">
        <f t="shared" si="66"/>
        <v>12.642299999999999</v>
      </c>
      <c r="CS60">
        <f t="shared" si="67"/>
        <v>0.90300000000000002</v>
      </c>
      <c r="CT60">
        <f t="shared" si="68"/>
        <v>407.48729999999995</v>
      </c>
      <c r="CU60">
        <f t="shared" si="69"/>
        <v>0</v>
      </c>
      <c r="CV60" t="e">
        <f t="shared" si="70"/>
        <v>#REF!</v>
      </c>
      <c r="CW60">
        <f t="shared" si="71"/>
        <v>0.01</v>
      </c>
      <c r="CX60">
        <f t="shared" si="72"/>
        <v>0</v>
      </c>
      <c r="CY60" t="e">
        <f>(S60+R60)*(BZ60/100)</f>
        <v>#REF!</v>
      </c>
      <c r="CZ60" t="e">
        <f>(S60+R60)*(CA60/100)</f>
        <v>#REF!</v>
      </c>
      <c r="DC60" t="s">
        <v>6</v>
      </c>
      <c r="DD60" t="s">
        <v>6</v>
      </c>
      <c r="DE60" t="s">
        <v>6</v>
      </c>
      <c r="DF60" t="s">
        <v>6</v>
      </c>
      <c r="DG60" t="s">
        <v>6</v>
      </c>
      <c r="DH60" t="s">
        <v>6</v>
      </c>
      <c r="DI60" t="s">
        <v>6</v>
      </c>
      <c r="DJ60" t="s">
        <v>6</v>
      </c>
      <c r="DK60" t="s">
        <v>6</v>
      </c>
      <c r="DL60" t="s">
        <v>6</v>
      </c>
      <c r="DM60" t="s">
        <v>6</v>
      </c>
      <c r="DN60">
        <f>'1.Лок.смета.и.Акт'!E123</f>
        <v>105</v>
      </c>
      <c r="DO60">
        <f>'1.Лок.смета.и.Акт'!E124</f>
        <v>55</v>
      </c>
      <c r="DP60">
        <v>1</v>
      </c>
      <c r="DQ60">
        <v>1</v>
      </c>
      <c r="DU60">
        <v>1005</v>
      </c>
      <c r="DV60" t="s">
        <v>50</v>
      </c>
      <c r="DW60" t="str">
        <f>'2.Лок.смета.и.Акт'!D33</f>
        <v>100 м2</v>
      </c>
      <c r="DX60">
        <v>100</v>
      </c>
      <c r="DZ60" t="s">
        <v>6</v>
      </c>
      <c r="EA60" t="s">
        <v>6</v>
      </c>
      <c r="EB60" t="s">
        <v>6</v>
      </c>
      <c r="EC60" t="s">
        <v>6</v>
      </c>
      <c r="EE60">
        <v>54328923</v>
      </c>
      <c r="EF60">
        <v>2</v>
      </c>
      <c r="EG60" t="s">
        <v>25</v>
      </c>
      <c r="EH60">
        <v>0</v>
      </c>
      <c r="EI60" t="s">
        <v>6</v>
      </c>
      <c r="EJ60">
        <v>1</v>
      </c>
      <c r="EK60">
        <v>24</v>
      </c>
      <c r="EL60" t="s">
        <v>26</v>
      </c>
      <c r="EM60" t="s">
        <v>52</v>
      </c>
      <c r="EO60" t="s">
        <v>6</v>
      </c>
      <c r="EQ60">
        <v>131072</v>
      </c>
      <c r="ER60">
        <f>ES60+ET60+EV60</f>
        <v>11.84</v>
      </c>
      <c r="ES60">
        <v>0.18</v>
      </c>
      <c r="ET60" s="76">
        <f>'1.Лок.смета.и.Акт'!F121</f>
        <v>0.99</v>
      </c>
      <c r="EU60" s="76">
        <f>'1.Лок.смета.и.Акт'!F122</f>
        <v>0.03</v>
      </c>
      <c r="EV60" s="76">
        <f>'1.Лок.смета.и.Акт'!F120</f>
        <v>10.67</v>
      </c>
      <c r="EW60" t="e">
        <f>'2.Лок.смета.и.Акт'!#REF!</f>
        <v>#REF!</v>
      </c>
      <c r="EX60">
        <v>0.01</v>
      </c>
      <c r="EY60">
        <v>1</v>
      </c>
      <c r="FQ60">
        <v>0</v>
      </c>
      <c r="FR60">
        <f t="shared" si="73"/>
        <v>0</v>
      </c>
      <c r="FS60">
        <v>0</v>
      </c>
      <c r="FX60">
        <v>105</v>
      </c>
      <c r="FY60">
        <v>55</v>
      </c>
      <c r="GA60" t="s">
        <v>6</v>
      </c>
      <c r="GD60">
        <v>1</v>
      </c>
      <c r="GF60">
        <v>1497412268</v>
      </c>
      <c r="GG60">
        <v>2</v>
      </c>
      <c r="GH60">
        <v>1</v>
      </c>
      <c r="GI60">
        <v>2</v>
      </c>
      <c r="GJ60">
        <v>0</v>
      </c>
      <c r="GK60">
        <v>0</v>
      </c>
      <c r="GL60">
        <f t="shared" si="74"/>
        <v>0</v>
      </c>
      <c r="GM60" t="e">
        <f t="shared" si="75"/>
        <v>#REF!</v>
      </c>
      <c r="GN60" t="e">
        <f t="shared" si="76"/>
        <v>#REF!</v>
      </c>
      <c r="GO60">
        <f t="shared" si="77"/>
        <v>0</v>
      </c>
      <c r="GP60">
        <f t="shared" si="78"/>
        <v>0</v>
      </c>
      <c r="GR60">
        <v>0</v>
      </c>
      <c r="GS60">
        <v>3</v>
      </c>
      <c r="GT60">
        <v>0</v>
      </c>
      <c r="GU60" t="s">
        <v>6</v>
      </c>
      <c r="GV60">
        <f t="shared" si="79"/>
        <v>0</v>
      </c>
      <c r="GW60">
        <v>1004.1</v>
      </c>
      <c r="GX60">
        <f t="shared" si="80"/>
        <v>0</v>
      </c>
      <c r="HA60">
        <v>0</v>
      </c>
      <c r="HB60">
        <v>0</v>
      </c>
      <c r="HC60">
        <f t="shared" si="81"/>
        <v>0</v>
      </c>
      <c r="HE60" t="s">
        <v>6</v>
      </c>
      <c r="HF60" t="s">
        <v>6</v>
      </c>
      <c r="HM60" t="s">
        <v>6</v>
      </c>
      <c r="HN60" t="s">
        <v>6</v>
      </c>
      <c r="HO60" t="s">
        <v>6</v>
      </c>
      <c r="HP60" t="s">
        <v>6</v>
      </c>
      <c r="HQ60" t="s">
        <v>6</v>
      </c>
      <c r="IF60">
        <v>-1</v>
      </c>
      <c r="IK60">
        <v>0</v>
      </c>
    </row>
    <row r="61" spans="1:255" x14ac:dyDescent="0.2">
      <c r="A61" s="2">
        <v>18</v>
      </c>
      <c r="B61" s="2">
        <v>1</v>
      </c>
      <c r="C61" s="2">
        <v>65</v>
      </c>
      <c r="D61" s="2"/>
      <c r="E61" s="2" t="s">
        <v>92</v>
      </c>
      <c r="F61" s="2" t="s">
        <v>31</v>
      </c>
      <c r="G61" s="2" t="s">
        <v>32</v>
      </c>
      <c r="H61" s="2" t="s">
        <v>33</v>
      </c>
      <c r="I61" s="2">
        <f>I59*J61</f>
        <v>2.0508999999999999</v>
      </c>
      <c r="J61" s="207">
        <f>'5.Ведомость_списания'!F46</f>
        <v>9.9999999999999992E-2</v>
      </c>
      <c r="K61" s="2">
        <v>0.1</v>
      </c>
      <c r="L61" s="2"/>
      <c r="M61" s="2"/>
      <c r="N61" s="2"/>
      <c r="O61" s="2">
        <f t="shared" si="45"/>
        <v>4</v>
      </c>
      <c r="P61" s="2">
        <f t="shared" si="46"/>
        <v>4</v>
      </c>
      <c r="Q61" s="2">
        <f t="shared" si="47"/>
        <v>0</v>
      </c>
      <c r="R61" s="2">
        <f t="shared" si="48"/>
        <v>0</v>
      </c>
      <c r="S61" s="2">
        <f t="shared" si="49"/>
        <v>0</v>
      </c>
      <c r="T61" s="2">
        <f t="shared" si="50"/>
        <v>0</v>
      </c>
      <c r="U61" s="2">
        <f t="shared" si="51"/>
        <v>0</v>
      </c>
      <c r="V61" s="2">
        <f t="shared" si="52"/>
        <v>0</v>
      </c>
      <c r="W61" s="2">
        <f t="shared" si="53"/>
        <v>0</v>
      </c>
      <c r="X61" s="2">
        <f t="shared" si="54"/>
        <v>0</v>
      </c>
      <c r="Y61" s="2">
        <f t="shared" si="55"/>
        <v>0</v>
      </c>
      <c r="Z61" s="2"/>
      <c r="AA61" s="2">
        <v>74242616</v>
      </c>
      <c r="AB61" s="2">
        <f t="shared" si="56"/>
        <v>1.82</v>
      </c>
      <c r="AC61" s="2">
        <f>ROUND((ES61),2)</f>
        <v>1.82</v>
      </c>
      <c r="AD61" s="2">
        <f t="shared" si="84"/>
        <v>0</v>
      </c>
      <c r="AE61" s="2">
        <f t="shared" si="58"/>
        <v>0</v>
      </c>
      <c r="AF61" s="2">
        <f t="shared" si="59"/>
        <v>0</v>
      </c>
      <c r="AG61" s="2">
        <f t="shared" si="60"/>
        <v>0</v>
      </c>
      <c r="AH61" s="2">
        <f t="shared" si="61"/>
        <v>0</v>
      </c>
      <c r="AI61" s="2">
        <f t="shared" si="62"/>
        <v>0</v>
      </c>
      <c r="AJ61" s="2">
        <f t="shared" si="63"/>
        <v>0</v>
      </c>
      <c r="AK61" s="2">
        <v>1.82</v>
      </c>
      <c r="AL61" s="111">
        <f>'1.Лок.смета.и.Акт'!F126</f>
        <v>1.82</v>
      </c>
      <c r="AM61" s="2">
        <v>0</v>
      </c>
      <c r="AN61" s="2">
        <v>0</v>
      </c>
      <c r="AO61" s="2">
        <v>0</v>
      </c>
      <c r="AP61" s="2">
        <v>0</v>
      </c>
      <c r="AQ61" s="2">
        <v>0</v>
      </c>
      <c r="AR61" s="2">
        <v>0</v>
      </c>
      <c r="AS61" s="2">
        <v>0</v>
      </c>
      <c r="AT61" s="2">
        <v>0</v>
      </c>
      <c r="AU61" s="2">
        <v>0</v>
      </c>
      <c r="AV61" s="2">
        <v>1</v>
      </c>
      <c r="AW61" s="2">
        <v>1</v>
      </c>
      <c r="AX61" s="2"/>
      <c r="AY61" s="2"/>
      <c r="AZ61" s="2">
        <v>1</v>
      </c>
      <c r="BA61" s="2">
        <v>1</v>
      </c>
      <c r="BB61" s="2">
        <v>1</v>
      </c>
      <c r="BC61" s="2">
        <v>1</v>
      </c>
      <c r="BD61" s="2" t="s">
        <v>6</v>
      </c>
      <c r="BE61" s="2" t="s">
        <v>6</v>
      </c>
      <c r="BF61" s="2" t="s">
        <v>6</v>
      </c>
      <c r="BG61" s="2" t="s">
        <v>6</v>
      </c>
      <c r="BH61" s="2">
        <v>3</v>
      </c>
      <c r="BI61" s="2">
        <v>1</v>
      </c>
      <c r="BJ61" s="2" t="s">
        <v>34</v>
      </c>
      <c r="BK61" s="2"/>
      <c r="BL61" s="2"/>
      <c r="BM61" s="2">
        <v>500001</v>
      </c>
      <c r="BN61" s="2">
        <v>0</v>
      </c>
      <c r="BO61" s="2" t="s">
        <v>6</v>
      </c>
      <c r="BP61" s="2">
        <v>0</v>
      </c>
      <c r="BQ61" s="2">
        <v>8</v>
      </c>
      <c r="BR61" s="2">
        <v>0</v>
      </c>
      <c r="BS61" s="2">
        <v>1</v>
      </c>
      <c r="BT61" s="2">
        <v>1</v>
      </c>
      <c r="BU61" s="2">
        <v>1</v>
      </c>
      <c r="BV61" s="2">
        <v>1</v>
      </c>
      <c r="BW61" s="2">
        <v>1</v>
      </c>
      <c r="BX61" s="2">
        <v>1</v>
      </c>
      <c r="BY61" s="2" t="s">
        <v>6</v>
      </c>
      <c r="BZ61" s="2">
        <v>0</v>
      </c>
      <c r="CA61" s="2">
        <v>0</v>
      </c>
      <c r="CB61" s="2" t="s">
        <v>6</v>
      </c>
      <c r="CC61" s="2"/>
      <c r="CD61" s="2"/>
      <c r="CE61" s="2">
        <v>0</v>
      </c>
      <c r="CF61" s="2">
        <v>0</v>
      </c>
      <c r="CG61" s="2">
        <v>0</v>
      </c>
      <c r="CH61" s="2"/>
      <c r="CI61" s="2"/>
      <c r="CJ61" s="2"/>
      <c r="CK61" s="2"/>
      <c r="CL61" s="2"/>
      <c r="CM61" s="2">
        <v>0</v>
      </c>
      <c r="CN61" s="2" t="s">
        <v>6</v>
      </c>
      <c r="CO61" s="2">
        <v>0</v>
      </c>
      <c r="CP61" s="2">
        <f t="shared" si="64"/>
        <v>4</v>
      </c>
      <c r="CQ61" s="2">
        <f t="shared" si="65"/>
        <v>1.82</v>
      </c>
      <c r="CR61" s="2">
        <f t="shared" si="66"/>
        <v>0</v>
      </c>
      <c r="CS61" s="2">
        <f t="shared" si="67"/>
        <v>0</v>
      </c>
      <c r="CT61" s="2">
        <f t="shared" si="68"/>
        <v>0</v>
      </c>
      <c r="CU61" s="2">
        <f t="shared" si="69"/>
        <v>0</v>
      </c>
      <c r="CV61" s="2">
        <f t="shared" si="70"/>
        <v>0</v>
      </c>
      <c r="CW61" s="2">
        <f t="shared" si="71"/>
        <v>0</v>
      </c>
      <c r="CX61" s="2">
        <f t="shared" si="72"/>
        <v>0</v>
      </c>
      <c r="CY61" s="2">
        <f>(((S61+R61)*AT61)/100)</f>
        <v>0</v>
      </c>
      <c r="CZ61" s="2">
        <f>(((S61+R61)*AU61)/100)</f>
        <v>0</v>
      </c>
      <c r="DA61" s="2"/>
      <c r="DB61" s="2"/>
      <c r="DC61" s="2" t="s">
        <v>6</v>
      </c>
      <c r="DD61" s="2" t="s">
        <v>6</v>
      </c>
      <c r="DE61" s="2" t="s">
        <v>6</v>
      </c>
      <c r="DF61" s="2" t="s">
        <v>6</v>
      </c>
      <c r="DG61" s="2" t="s">
        <v>6</v>
      </c>
      <c r="DH61" s="2" t="s">
        <v>6</v>
      </c>
      <c r="DI61" s="2" t="s">
        <v>6</v>
      </c>
      <c r="DJ61" s="2" t="s">
        <v>6</v>
      </c>
      <c r="DK61" s="2" t="s">
        <v>6</v>
      </c>
      <c r="DL61" s="2" t="s">
        <v>6</v>
      </c>
      <c r="DM61" s="2" t="s">
        <v>6</v>
      </c>
      <c r="DN61" s="2">
        <v>0</v>
      </c>
      <c r="DO61" s="2">
        <v>0</v>
      </c>
      <c r="DP61" s="2">
        <v>1</v>
      </c>
      <c r="DQ61" s="2">
        <v>1</v>
      </c>
      <c r="DR61" s="2"/>
      <c r="DS61" s="2"/>
      <c r="DT61" s="2"/>
      <c r="DU61" s="2">
        <v>1009</v>
      </c>
      <c r="DV61" s="2" t="s">
        <v>33</v>
      </c>
      <c r="DW61" s="2" t="s">
        <v>33</v>
      </c>
      <c r="DX61" s="2">
        <v>1</v>
      </c>
      <c r="DY61" s="2"/>
      <c r="DZ61" s="2" t="s">
        <v>6</v>
      </c>
      <c r="EA61" s="2" t="s">
        <v>6</v>
      </c>
      <c r="EB61" s="2" t="s">
        <v>6</v>
      </c>
      <c r="EC61" s="2" t="s">
        <v>6</v>
      </c>
      <c r="ED61" s="2"/>
      <c r="EE61" s="2">
        <v>54328897</v>
      </c>
      <c r="EF61" s="2">
        <v>8</v>
      </c>
      <c r="EG61" s="2" t="s">
        <v>35</v>
      </c>
      <c r="EH61" s="2">
        <v>0</v>
      </c>
      <c r="EI61" s="2" t="s">
        <v>6</v>
      </c>
      <c r="EJ61" s="2">
        <v>1</v>
      </c>
      <c r="EK61" s="2">
        <v>500001</v>
      </c>
      <c r="EL61" s="2" t="s">
        <v>36</v>
      </c>
      <c r="EM61" s="2" t="s">
        <v>37</v>
      </c>
      <c r="EN61" s="2"/>
      <c r="EO61" s="2" t="s">
        <v>6</v>
      </c>
      <c r="EP61" s="2"/>
      <c r="EQ61" s="2">
        <v>0</v>
      </c>
      <c r="ER61" s="2">
        <v>1.82</v>
      </c>
      <c r="ES61" s="111">
        <f>'1.Лок.смета.и.Акт'!F126</f>
        <v>1.82</v>
      </c>
      <c r="ET61" s="2">
        <v>0</v>
      </c>
      <c r="EU61" s="2">
        <v>0</v>
      </c>
      <c r="EV61" s="2">
        <v>0</v>
      </c>
      <c r="EW61" s="2">
        <v>0</v>
      </c>
      <c r="EX61" s="2">
        <v>0</v>
      </c>
      <c r="EY61" s="2"/>
      <c r="EZ61" s="2"/>
      <c r="FA61" s="2"/>
      <c r="FB61" s="2"/>
      <c r="FC61" s="2"/>
      <c r="FD61" s="2"/>
      <c r="FE61" s="2"/>
      <c r="FF61" s="2"/>
      <c r="FG61" s="2"/>
      <c r="FH61" s="2"/>
      <c r="FI61" s="2"/>
      <c r="FJ61" s="2"/>
      <c r="FK61" s="2"/>
      <c r="FL61" s="2"/>
      <c r="FM61" s="2"/>
      <c r="FN61" s="2"/>
      <c r="FO61" s="2"/>
      <c r="FP61" s="2"/>
      <c r="FQ61" s="2">
        <v>0</v>
      </c>
      <c r="FR61" s="2">
        <f t="shared" si="73"/>
        <v>0</v>
      </c>
      <c r="FS61" s="2">
        <v>0</v>
      </c>
      <c r="FT61" s="2"/>
      <c r="FU61" s="2"/>
      <c r="FV61" s="2"/>
      <c r="FW61" s="2"/>
      <c r="FX61" s="2">
        <v>0</v>
      </c>
      <c r="FY61" s="2">
        <v>0</v>
      </c>
      <c r="FZ61" s="2"/>
      <c r="GA61" s="2" t="s">
        <v>6</v>
      </c>
      <c r="GB61" s="2"/>
      <c r="GC61" s="2"/>
      <c r="GD61" s="2">
        <v>1</v>
      </c>
      <c r="GE61" s="2"/>
      <c r="GF61" s="2">
        <v>-386994921</v>
      </c>
      <c r="GG61" s="2">
        <v>2</v>
      </c>
      <c r="GH61" s="2">
        <v>0</v>
      </c>
      <c r="GI61" s="2">
        <v>-2</v>
      </c>
      <c r="GJ61" s="2">
        <v>0</v>
      </c>
      <c r="GK61" s="2">
        <v>0</v>
      </c>
      <c r="GL61" s="2">
        <f t="shared" si="74"/>
        <v>0</v>
      </c>
      <c r="GM61" s="2">
        <f t="shared" si="75"/>
        <v>4</v>
      </c>
      <c r="GN61" s="2">
        <f t="shared" si="76"/>
        <v>4</v>
      </c>
      <c r="GO61" s="2">
        <f t="shared" si="77"/>
        <v>0</v>
      </c>
      <c r="GP61" s="2">
        <f t="shared" si="78"/>
        <v>0</v>
      </c>
      <c r="GQ61" s="2"/>
      <c r="GR61" s="2">
        <v>0</v>
      </c>
      <c r="GS61" s="2">
        <v>3</v>
      </c>
      <c r="GT61" s="2">
        <v>0</v>
      </c>
      <c r="GU61" s="2" t="s">
        <v>6</v>
      </c>
      <c r="GV61" s="2">
        <f t="shared" si="79"/>
        <v>0</v>
      </c>
      <c r="GW61" s="2">
        <v>1</v>
      </c>
      <c r="GX61" s="2">
        <f t="shared" si="80"/>
        <v>0</v>
      </c>
      <c r="GY61" s="2"/>
      <c r="GZ61" s="2"/>
      <c r="HA61" s="2">
        <v>0</v>
      </c>
      <c r="HB61" s="2">
        <v>0</v>
      </c>
      <c r="HC61" s="2">
        <f t="shared" si="81"/>
        <v>0</v>
      </c>
      <c r="HD61" s="2"/>
      <c r="HE61" s="2" t="s">
        <v>6</v>
      </c>
      <c r="HF61" s="2" t="s">
        <v>6</v>
      </c>
      <c r="HG61" s="2"/>
      <c r="HH61" s="2"/>
      <c r="HI61" s="2"/>
      <c r="HJ61" s="2"/>
      <c r="HK61" s="2"/>
      <c r="HL61" s="2"/>
      <c r="HM61" s="2" t="s">
        <v>6</v>
      </c>
      <c r="HN61" s="2" t="s">
        <v>6</v>
      </c>
      <c r="HO61" s="2" t="s">
        <v>6</v>
      </c>
      <c r="HP61" s="2" t="s">
        <v>6</v>
      </c>
      <c r="HQ61" s="2" t="s">
        <v>6</v>
      </c>
      <c r="HR61" s="2"/>
      <c r="HS61" s="2"/>
      <c r="HT61" s="2"/>
      <c r="HU61" s="2"/>
      <c r="HV61" s="2"/>
      <c r="HW61" s="2"/>
      <c r="HX61" s="2"/>
      <c r="HY61" s="2"/>
      <c r="HZ61" s="2"/>
      <c r="IA61" s="2"/>
      <c r="IB61" s="2"/>
      <c r="IC61" s="2"/>
      <c r="ID61" s="2"/>
      <c r="IE61" s="2"/>
      <c r="IF61" s="2">
        <v>-1</v>
      </c>
      <c r="IG61" s="2"/>
      <c r="IH61" s="2"/>
      <c r="II61" s="2"/>
      <c r="IJ61" s="2"/>
      <c r="IK61" s="2">
        <v>0</v>
      </c>
      <c r="IL61" s="2"/>
      <c r="IM61" s="2"/>
      <c r="IN61" s="2"/>
      <c r="IO61" s="2"/>
      <c r="IP61" s="2"/>
      <c r="IQ61" s="2"/>
      <c r="IR61" s="2"/>
      <c r="IS61" s="2"/>
      <c r="IT61" s="2"/>
      <c r="IU61" s="2"/>
    </row>
    <row r="62" spans="1:255" x14ac:dyDescent="0.2">
      <c r="A62">
        <v>18</v>
      </c>
      <c r="B62">
        <v>1</v>
      </c>
      <c r="C62">
        <v>71</v>
      </c>
      <c r="E62" t="s">
        <v>92</v>
      </c>
      <c r="F62" t="e">
        <f>'2.Лок.смета.и.Акт'!#REF!</f>
        <v>#REF!</v>
      </c>
      <c r="G62" t="s">
        <v>32</v>
      </c>
      <c r="H62" t="s">
        <v>33</v>
      </c>
      <c r="I62">
        <f>I60*J62</f>
        <v>2.0508999999999999</v>
      </c>
      <c r="J62">
        <v>9.9999999999999992E-2</v>
      </c>
      <c r="K62">
        <v>0.1</v>
      </c>
      <c r="O62">
        <f t="shared" si="45"/>
        <v>66</v>
      </c>
      <c r="P62">
        <f t="shared" si="46"/>
        <v>66</v>
      </c>
      <c r="Q62">
        <f t="shared" si="47"/>
        <v>0</v>
      </c>
      <c r="R62">
        <f t="shared" si="48"/>
        <v>0</v>
      </c>
      <c r="S62">
        <f t="shared" si="49"/>
        <v>0</v>
      </c>
      <c r="T62">
        <f t="shared" si="50"/>
        <v>0</v>
      </c>
      <c r="U62">
        <f t="shared" si="51"/>
        <v>0</v>
      </c>
      <c r="V62">
        <f t="shared" si="52"/>
        <v>0</v>
      </c>
      <c r="W62">
        <f t="shared" si="53"/>
        <v>0</v>
      </c>
      <c r="X62">
        <f t="shared" si="54"/>
        <v>0</v>
      </c>
      <c r="Y62">
        <f t="shared" si="55"/>
        <v>0</v>
      </c>
      <c r="AA62">
        <v>74242617</v>
      </c>
      <c r="AB62">
        <f t="shared" si="56"/>
        <v>4.28</v>
      </c>
      <c r="AC62">
        <f>ROUND((ES62),2)</f>
        <v>4.28</v>
      </c>
      <c r="AD62">
        <f t="shared" si="84"/>
        <v>0</v>
      </c>
      <c r="AE62">
        <f t="shared" si="58"/>
        <v>0</v>
      </c>
      <c r="AF62">
        <f t="shared" si="59"/>
        <v>0</v>
      </c>
      <c r="AG62">
        <f t="shared" si="60"/>
        <v>0</v>
      </c>
      <c r="AH62">
        <f t="shared" si="61"/>
        <v>0</v>
      </c>
      <c r="AI62">
        <f t="shared" si="62"/>
        <v>0</v>
      </c>
      <c r="AJ62">
        <f t="shared" si="63"/>
        <v>0</v>
      </c>
      <c r="AK62">
        <v>4.2799999999999994</v>
      </c>
      <c r="AL62">
        <v>4.2799999999999994</v>
      </c>
      <c r="AM62">
        <v>0</v>
      </c>
      <c r="AN62">
        <v>0</v>
      </c>
      <c r="AO62">
        <v>0</v>
      </c>
      <c r="AP62">
        <v>0</v>
      </c>
      <c r="AQ62">
        <v>0</v>
      </c>
      <c r="AR62">
        <v>0</v>
      </c>
      <c r="AS62">
        <v>0</v>
      </c>
      <c r="AT62">
        <v>0</v>
      </c>
      <c r="AU62">
        <v>0</v>
      </c>
      <c r="AV62">
        <v>1</v>
      </c>
      <c r="AW62">
        <v>1</v>
      </c>
      <c r="AZ62">
        <v>1</v>
      </c>
      <c r="BA62">
        <v>1</v>
      </c>
      <c r="BB62">
        <v>1</v>
      </c>
      <c r="BC62">
        <v>7.56</v>
      </c>
      <c r="BD62" t="s">
        <v>6</v>
      </c>
      <c r="BE62" t="s">
        <v>6</v>
      </c>
      <c r="BF62" t="s">
        <v>6</v>
      </c>
      <c r="BG62" t="s">
        <v>6</v>
      </c>
      <c r="BH62">
        <v>3</v>
      </c>
      <c r="BI62">
        <v>1</v>
      </c>
      <c r="BJ62" t="s">
        <v>34</v>
      </c>
      <c r="BM62">
        <v>500001</v>
      </c>
      <c r="BN62">
        <v>0</v>
      </c>
      <c r="BO62" t="s">
        <v>6</v>
      </c>
      <c r="BP62">
        <v>0</v>
      </c>
      <c r="BQ62">
        <v>8</v>
      </c>
      <c r="BR62">
        <v>0</v>
      </c>
      <c r="BS62">
        <v>1</v>
      </c>
      <c r="BT62">
        <v>1</v>
      </c>
      <c r="BU62">
        <v>1</v>
      </c>
      <c r="BV62">
        <v>1</v>
      </c>
      <c r="BW62">
        <v>1</v>
      </c>
      <c r="BX62">
        <v>1</v>
      </c>
      <c r="BY62" t="s">
        <v>6</v>
      </c>
      <c r="BZ62">
        <v>0</v>
      </c>
      <c r="CA62">
        <v>0</v>
      </c>
      <c r="CB62" t="s">
        <v>6</v>
      </c>
      <c r="CE62">
        <v>0</v>
      </c>
      <c r="CF62">
        <v>0</v>
      </c>
      <c r="CG62">
        <v>0</v>
      </c>
      <c r="CM62">
        <v>0</v>
      </c>
      <c r="CN62" t="s">
        <v>6</v>
      </c>
      <c r="CO62">
        <v>0</v>
      </c>
      <c r="CP62">
        <f t="shared" si="64"/>
        <v>66</v>
      </c>
      <c r="CQ62">
        <f t="shared" si="65"/>
        <v>32.3568</v>
      </c>
      <c r="CR62">
        <f t="shared" si="66"/>
        <v>0</v>
      </c>
      <c r="CS62">
        <f t="shared" si="67"/>
        <v>0</v>
      </c>
      <c r="CT62">
        <f t="shared" si="68"/>
        <v>0</v>
      </c>
      <c r="CU62">
        <f t="shared" si="69"/>
        <v>0</v>
      </c>
      <c r="CV62">
        <f t="shared" si="70"/>
        <v>0</v>
      </c>
      <c r="CW62">
        <f t="shared" si="71"/>
        <v>0</v>
      </c>
      <c r="CX62">
        <f t="shared" si="72"/>
        <v>0</v>
      </c>
      <c r="CY62">
        <f>(S62+R62)*(BZ62/100)</f>
        <v>0</v>
      </c>
      <c r="CZ62">
        <f>(S62+R62)*(CA62/100)</f>
        <v>0</v>
      </c>
      <c r="DC62" t="s">
        <v>6</v>
      </c>
      <c r="DD62" t="s">
        <v>6</v>
      </c>
      <c r="DE62" t="s">
        <v>6</v>
      </c>
      <c r="DF62" t="s">
        <v>6</v>
      </c>
      <c r="DG62" t="s">
        <v>6</v>
      </c>
      <c r="DH62" t="s">
        <v>6</v>
      </c>
      <c r="DI62" t="s">
        <v>6</v>
      </c>
      <c r="DJ62" t="s">
        <v>6</v>
      </c>
      <c r="DK62" t="s">
        <v>6</v>
      </c>
      <c r="DL62" t="s">
        <v>6</v>
      </c>
      <c r="DM62" t="s">
        <v>6</v>
      </c>
      <c r="DN62">
        <v>0</v>
      </c>
      <c r="DO62">
        <v>0</v>
      </c>
      <c r="DP62">
        <v>1</v>
      </c>
      <c r="DQ62">
        <v>1</v>
      </c>
      <c r="DU62">
        <v>1009</v>
      </c>
      <c r="DV62" t="s">
        <v>33</v>
      </c>
      <c r="DW62" t="e">
        <f>'2.Лок.смета.и.Акт'!#REF!</f>
        <v>#REF!</v>
      </c>
      <c r="DX62">
        <v>1</v>
      </c>
      <c r="DZ62" t="s">
        <v>6</v>
      </c>
      <c r="EA62" t="s">
        <v>6</v>
      </c>
      <c r="EB62" t="s">
        <v>6</v>
      </c>
      <c r="EC62" t="s">
        <v>6</v>
      </c>
      <c r="EE62">
        <v>54328897</v>
      </c>
      <c r="EF62">
        <v>8</v>
      </c>
      <c r="EG62" t="s">
        <v>35</v>
      </c>
      <c r="EH62">
        <v>0</v>
      </c>
      <c r="EI62" t="s">
        <v>6</v>
      </c>
      <c r="EJ62">
        <v>1</v>
      </c>
      <c r="EK62">
        <v>500001</v>
      </c>
      <c r="EL62" t="s">
        <v>36</v>
      </c>
      <c r="EM62" t="s">
        <v>37</v>
      </c>
      <c r="EO62" t="s">
        <v>6</v>
      </c>
      <c r="EQ62">
        <v>0</v>
      </c>
      <c r="ER62">
        <v>31</v>
      </c>
      <c r="ES62">
        <v>4.2799999999999994</v>
      </c>
      <c r="ET62">
        <v>0</v>
      </c>
      <c r="EU62">
        <v>0</v>
      </c>
      <c r="EV62">
        <v>0</v>
      </c>
      <c r="EW62">
        <v>0</v>
      </c>
      <c r="EX62">
        <v>0</v>
      </c>
      <c r="EZ62">
        <v>5</v>
      </c>
      <c r="FC62">
        <v>0</v>
      </c>
      <c r="FD62">
        <v>18</v>
      </c>
      <c r="FF62">
        <v>31</v>
      </c>
      <c r="FQ62">
        <v>0</v>
      </c>
      <c r="FR62">
        <f t="shared" si="73"/>
        <v>0</v>
      </c>
      <c r="FS62">
        <v>0</v>
      </c>
      <c r="FX62">
        <v>0</v>
      </c>
      <c r="FY62">
        <v>0</v>
      </c>
      <c r="GA62" t="s">
        <v>38</v>
      </c>
      <c r="GD62">
        <v>1</v>
      </c>
      <c r="GF62">
        <v>-386994921</v>
      </c>
      <c r="GG62">
        <v>2</v>
      </c>
      <c r="GH62">
        <v>3</v>
      </c>
      <c r="GI62">
        <v>5</v>
      </c>
      <c r="GJ62">
        <v>0</v>
      </c>
      <c r="GK62">
        <v>0</v>
      </c>
      <c r="GL62">
        <f t="shared" si="74"/>
        <v>0</v>
      </c>
      <c r="GM62">
        <f t="shared" si="75"/>
        <v>66</v>
      </c>
      <c r="GN62">
        <f t="shared" si="76"/>
        <v>66</v>
      </c>
      <c r="GO62">
        <f t="shared" si="77"/>
        <v>0</v>
      </c>
      <c r="GP62">
        <f t="shared" si="78"/>
        <v>0</v>
      </c>
      <c r="GR62">
        <v>1</v>
      </c>
      <c r="GS62">
        <v>1</v>
      </c>
      <c r="GT62">
        <v>0</v>
      </c>
      <c r="GU62" t="s">
        <v>6</v>
      </c>
      <c r="GV62">
        <f t="shared" si="79"/>
        <v>0</v>
      </c>
      <c r="GW62">
        <v>1</v>
      </c>
      <c r="GX62">
        <f t="shared" si="80"/>
        <v>0</v>
      </c>
      <c r="HA62">
        <v>0</v>
      </c>
      <c r="HB62">
        <v>0</v>
      </c>
      <c r="HC62">
        <f t="shared" si="81"/>
        <v>0</v>
      </c>
      <c r="HE62" t="s">
        <v>39</v>
      </c>
      <c r="HF62" t="s">
        <v>40</v>
      </c>
      <c r="HM62" t="s">
        <v>6</v>
      </c>
      <c r="HN62" t="s">
        <v>6</v>
      </c>
      <c r="HO62" t="s">
        <v>6</v>
      </c>
      <c r="HP62" t="s">
        <v>6</v>
      </c>
      <c r="HQ62" t="s">
        <v>6</v>
      </c>
      <c r="IF62">
        <v>-1</v>
      </c>
      <c r="IK62">
        <v>0</v>
      </c>
    </row>
    <row r="63" spans="1:255" x14ac:dyDescent="0.2">
      <c r="A63" s="2">
        <v>18</v>
      </c>
      <c r="B63" s="2">
        <v>1</v>
      </c>
      <c r="C63" s="2">
        <v>66</v>
      </c>
      <c r="D63" s="2"/>
      <c r="E63" s="2" t="s">
        <v>93</v>
      </c>
      <c r="F63" s="2" t="s">
        <v>42</v>
      </c>
      <c r="G63" s="2" t="s">
        <v>55</v>
      </c>
      <c r="H63" s="2" t="s">
        <v>44</v>
      </c>
      <c r="I63" s="2">
        <f>I59*J63</f>
        <v>0.27071899999999999</v>
      </c>
      <c r="J63" s="207">
        <f>'5.Ведомость_списания'!F47</f>
        <v>1.3200009751816275E-2</v>
      </c>
      <c r="K63" s="2">
        <v>1.32E-2</v>
      </c>
      <c r="L63" s="2"/>
      <c r="M63" s="2"/>
      <c r="N63" s="2"/>
      <c r="O63" s="2">
        <f t="shared" si="45"/>
        <v>3057</v>
      </c>
      <c r="P63" s="2">
        <f t="shared" si="46"/>
        <v>3057</v>
      </c>
      <c r="Q63" s="2">
        <f t="shared" si="47"/>
        <v>0</v>
      </c>
      <c r="R63" s="2">
        <f t="shared" si="48"/>
        <v>0</v>
      </c>
      <c r="S63" s="2">
        <f t="shared" si="49"/>
        <v>0</v>
      </c>
      <c r="T63" s="2">
        <f t="shared" si="50"/>
        <v>0</v>
      </c>
      <c r="U63" s="2">
        <f t="shared" si="51"/>
        <v>0</v>
      </c>
      <c r="V63" s="2">
        <f t="shared" si="52"/>
        <v>0</v>
      </c>
      <c r="W63" s="2">
        <f t="shared" si="53"/>
        <v>3</v>
      </c>
      <c r="X63" s="2">
        <f t="shared" si="54"/>
        <v>0</v>
      </c>
      <c r="Y63" s="2">
        <f t="shared" si="55"/>
        <v>0</v>
      </c>
      <c r="Z63" s="2"/>
      <c r="AA63" s="2">
        <v>74242616</v>
      </c>
      <c r="AB63" s="2">
        <f t="shared" si="56"/>
        <v>11293.16</v>
      </c>
      <c r="AC63" s="2">
        <f>ROUND((ES63),2)</f>
        <v>11293.16</v>
      </c>
      <c r="AD63" s="2">
        <f t="shared" si="84"/>
        <v>0</v>
      </c>
      <c r="AE63" s="2">
        <f t="shared" si="58"/>
        <v>0</v>
      </c>
      <c r="AF63" s="2">
        <f t="shared" si="59"/>
        <v>0</v>
      </c>
      <c r="AG63" s="2">
        <f t="shared" si="60"/>
        <v>0</v>
      </c>
      <c r="AH63" s="2">
        <f t="shared" si="61"/>
        <v>0</v>
      </c>
      <c r="AI63" s="2">
        <f t="shared" si="62"/>
        <v>0</v>
      </c>
      <c r="AJ63" s="2">
        <f t="shared" si="63"/>
        <v>11.06</v>
      </c>
      <c r="AK63" s="2">
        <v>11293.16</v>
      </c>
      <c r="AL63" s="111">
        <f>'1.Лок.смета.и.Акт'!F128</f>
        <v>11293.16</v>
      </c>
      <c r="AM63" s="2">
        <v>0</v>
      </c>
      <c r="AN63" s="2">
        <v>0</v>
      </c>
      <c r="AO63" s="2">
        <v>0</v>
      </c>
      <c r="AP63" s="2">
        <v>0</v>
      </c>
      <c r="AQ63" s="2">
        <v>0</v>
      </c>
      <c r="AR63" s="2">
        <v>0</v>
      </c>
      <c r="AS63" s="2">
        <v>11.06</v>
      </c>
      <c r="AT63" s="2">
        <v>0</v>
      </c>
      <c r="AU63" s="2">
        <v>0</v>
      </c>
      <c r="AV63" s="2">
        <v>1</v>
      </c>
      <c r="AW63" s="2">
        <v>1</v>
      </c>
      <c r="AX63" s="2"/>
      <c r="AY63" s="2"/>
      <c r="AZ63" s="2">
        <v>1</v>
      </c>
      <c r="BA63" s="2">
        <v>1</v>
      </c>
      <c r="BB63" s="2">
        <v>1</v>
      </c>
      <c r="BC63" s="2">
        <v>1</v>
      </c>
      <c r="BD63" s="2" t="s">
        <v>6</v>
      </c>
      <c r="BE63" s="2" t="s">
        <v>6</v>
      </c>
      <c r="BF63" s="2" t="s">
        <v>6</v>
      </c>
      <c r="BG63" s="2" t="s">
        <v>6</v>
      </c>
      <c r="BH63" s="2">
        <v>3</v>
      </c>
      <c r="BI63" s="2">
        <v>1</v>
      </c>
      <c r="BJ63" s="2" t="s">
        <v>45</v>
      </c>
      <c r="BK63" s="2"/>
      <c r="BL63" s="2"/>
      <c r="BM63" s="2">
        <v>500001</v>
      </c>
      <c r="BN63" s="2">
        <v>0</v>
      </c>
      <c r="BO63" s="2" t="s">
        <v>6</v>
      </c>
      <c r="BP63" s="2">
        <v>0</v>
      </c>
      <c r="BQ63" s="2">
        <v>8</v>
      </c>
      <c r="BR63" s="2">
        <v>0</v>
      </c>
      <c r="BS63" s="2">
        <v>1</v>
      </c>
      <c r="BT63" s="2">
        <v>1</v>
      </c>
      <c r="BU63" s="2">
        <v>1</v>
      </c>
      <c r="BV63" s="2">
        <v>1</v>
      </c>
      <c r="BW63" s="2">
        <v>1</v>
      </c>
      <c r="BX63" s="2">
        <v>1</v>
      </c>
      <c r="BY63" s="2" t="s">
        <v>6</v>
      </c>
      <c r="BZ63" s="2">
        <v>0</v>
      </c>
      <c r="CA63" s="2">
        <v>0</v>
      </c>
      <c r="CB63" s="2" t="s">
        <v>6</v>
      </c>
      <c r="CC63" s="2"/>
      <c r="CD63" s="2"/>
      <c r="CE63" s="2">
        <v>0</v>
      </c>
      <c r="CF63" s="2">
        <v>0</v>
      </c>
      <c r="CG63" s="2">
        <v>0</v>
      </c>
      <c r="CH63" s="2"/>
      <c r="CI63" s="2"/>
      <c r="CJ63" s="2"/>
      <c r="CK63" s="2"/>
      <c r="CL63" s="2"/>
      <c r="CM63" s="2">
        <v>0</v>
      </c>
      <c r="CN63" s="2" t="s">
        <v>6</v>
      </c>
      <c r="CO63" s="2">
        <v>0</v>
      </c>
      <c r="CP63" s="2">
        <f t="shared" si="64"/>
        <v>3057</v>
      </c>
      <c r="CQ63" s="2">
        <f t="shared" si="65"/>
        <v>11293.16</v>
      </c>
      <c r="CR63" s="2">
        <f t="shared" si="66"/>
        <v>0</v>
      </c>
      <c r="CS63" s="2">
        <f t="shared" si="67"/>
        <v>0</v>
      </c>
      <c r="CT63" s="2">
        <f t="shared" si="68"/>
        <v>0</v>
      </c>
      <c r="CU63" s="2">
        <f t="shared" si="69"/>
        <v>0</v>
      </c>
      <c r="CV63" s="2">
        <f t="shared" si="70"/>
        <v>0</v>
      </c>
      <c r="CW63" s="2">
        <f t="shared" si="71"/>
        <v>0</v>
      </c>
      <c r="CX63" s="2">
        <f t="shared" si="72"/>
        <v>11.06</v>
      </c>
      <c r="CY63" s="2">
        <f>(((S63+R63)*AT63)/100)</f>
        <v>0</v>
      </c>
      <c r="CZ63" s="2">
        <f>(((S63+R63)*AU63)/100)</f>
        <v>0</v>
      </c>
      <c r="DA63" s="2"/>
      <c r="DB63" s="2"/>
      <c r="DC63" s="2" t="s">
        <v>6</v>
      </c>
      <c r="DD63" s="2" t="s">
        <v>6</v>
      </c>
      <c r="DE63" s="2" t="s">
        <v>6</v>
      </c>
      <c r="DF63" s="2" t="s">
        <v>6</v>
      </c>
      <c r="DG63" s="2" t="s">
        <v>6</v>
      </c>
      <c r="DH63" s="2" t="s">
        <v>6</v>
      </c>
      <c r="DI63" s="2" t="s">
        <v>6</v>
      </c>
      <c r="DJ63" s="2" t="s">
        <v>6</v>
      </c>
      <c r="DK63" s="2" t="s">
        <v>6</v>
      </c>
      <c r="DL63" s="2" t="s">
        <v>6</v>
      </c>
      <c r="DM63" s="2" t="s">
        <v>6</v>
      </c>
      <c r="DN63" s="2">
        <v>0</v>
      </c>
      <c r="DO63" s="2">
        <v>0</v>
      </c>
      <c r="DP63" s="2">
        <v>1</v>
      </c>
      <c r="DQ63" s="2">
        <v>1</v>
      </c>
      <c r="DR63" s="2"/>
      <c r="DS63" s="2"/>
      <c r="DT63" s="2"/>
      <c r="DU63" s="2">
        <v>1009</v>
      </c>
      <c r="DV63" s="2" t="s">
        <v>44</v>
      </c>
      <c r="DW63" s="2" t="s">
        <v>44</v>
      </c>
      <c r="DX63" s="2">
        <v>1000</v>
      </c>
      <c r="DY63" s="2"/>
      <c r="DZ63" s="2" t="s">
        <v>6</v>
      </c>
      <c r="EA63" s="2" t="s">
        <v>6</v>
      </c>
      <c r="EB63" s="2" t="s">
        <v>6</v>
      </c>
      <c r="EC63" s="2" t="s">
        <v>6</v>
      </c>
      <c r="ED63" s="2"/>
      <c r="EE63" s="2">
        <v>54328897</v>
      </c>
      <c r="EF63" s="2">
        <v>8</v>
      </c>
      <c r="EG63" s="2" t="s">
        <v>35</v>
      </c>
      <c r="EH63" s="2">
        <v>0</v>
      </c>
      <c r="EI63" s="2" t="s">
        <v>6</v>
      </c>
      <c r="EJ63" s="2">
        <v>1</v>
      </c>
      <c r="EK63" s="2">
        <v>500001</v>
      </c>
      <c r="EL63" s="2" t="s">
        <v>36</v>
      </c>
      <c r="EM63" s="2" t="s">
        <v>37</v>
      </c>
      <c r="EN63" s="2"/>
      <c r="EO63" s="2" t="s">
        <v>6</v>
      </c>
      <c r="EP63" s="2"/>
      <c r="EQ63" s="2">
        <v>0</v>
      </c>
      <c r="ER63" s="2">
        <v>11293.16</v>
      </c>
      <c r="ES63" s="111">
        <f>'1.Лок.смета.и.Акт'!F128</f>
        <v>11293.16</v>
      </c>
      <c r="ET63" s="2">
        <v>0</v>
      </c>
      <c r="EU63" s="2">
        <v>0</v>
      </c>
      <c r="EV63" s="2">
        <v>0</v>
      </c>
      <c r="EW63" s="2">
        <v>0</v>
      </c>
      <c r="EX63" s="2">
        <v>0</v>
      </c>
      <c r="EY63" s="2"/>
      <c r="EZ63" s="2"/>
      <c r="FA63" s="2"/>
      <c r="FB63" s="2"/>
      <c r="FC63" s="2"/>
      <c r="FD63" s="2"/>
      <c r="FE63" s="2"/>
      <c r="FF63" s="2"/>
      <c r="FG63" s="2"/>
      <c r="FH63" s="2"/>
      <c r="FI63" s="2"/>
      <c r="FJ63" s="2"/>
      <c r="FK63" s="2"/>
      <c r="FL63" s="2"/>
      <c r="FM63" s="2"/>
      <c r="FN63" s="2"/>
      <c r="FO63" s="2"/>
      <c r="FP63" s="2"/>
      <c r="FQ63" s="2">
        <v>0</v>
      </c>
      <c r="FR63" s="2">
        <f t="shared" si="73"/>
        <v>0</v>
      </c>
      <c r="FS63" s="2">
        <v>0</v>
      </c>
      <c r="FT63" s="2"/>
      <c r="FU63" s="2"/>
      <c r="FV63" s="2"/>
      <c r="FW63" s="2"/>
      <c r="FX63" s="2">
        <v>0</v>
      </c>
      <c r="FY63" s="2">
        <v>0</v>
      </c>
      <c r="FZ63" s="2"/>
      <c r="GA63" s="2" t="s">
        <v>6</v>
      </c>
      <c r="GB63" s="2"/>
      <c r="GC63" s="2"/>
      <c r="GD63" s="2">
        <v>1</v>
      </c>
      <c r="GE63" s="2"/>
      <c r="GF63" s="2">
        <v>-1720905458</v>
      </c>
      <c r="GG63" s="2">
        <v>2</v>
      </c>
      <c r="GH63" s="2">
        <v>1</v>
      </c>
      <c r="GI63" s="2">
        <v>-2</v>
      </c>
      <c r="GJ63" s="2">
        <v>0</v>
      </c>
      <c r="GK63" s="2">
        <v>0</v>
      </c>
      <c r="GL63" s="2">
        <f t="shared" si="74"/>
        <v>0</v>
      </c>
      <c r="GM63" s="2">
        <f t="shared" si="75"/>
        <v>3057</v>
      </c>
      <c r="GN63" s="2">
        <f t="shared" si="76"/>
        <v>3057</v>
      </c>
      <c r="GO63" s="2">
        <f t="shared" si="77"/>
        <v>0</v>
      </c>
      <c r="GP63" s="2">
        <f t="shared" si="78"/>
        <v>0</v>
      </c>
      <c r="GQ63" s="2"/>
      <c r="GR63" s="2">
        <v>0</v>
      </c>
      <c r="GS63" s="2">
        <v>3</v>
      </c>
      <c r="GT63" s="2">
        <v>0</v>
      </c>
      <c r="GU63" s="2" t="s">
        <v>6</v>
      </c>
      <c r="GV63" s="2">
        <f t="shared" si="79"/>
        <v>0</v>
      </c>
      <c r="GW63" s="2">
        <v>1</v>
      </c>
      <c r="GX63" s="2">
        <f t="shared" si="80"/>
        <v>0</v>
      </c>
      <c r="GY63" s="2"/>
      <c r="GZ63" s="2"/>
      <c r="HA63" s="2">
        <v>0</v>
      </c>
      <c r="HB63" s="2">
        <v>0</v>
      </c>
      <c r="HC63" s="2">
        <f t="shared" si="81"/>
        <v>0</v>
      </c>
      <c r="HD63" s="2"/>
      <c r="HE63" s="2" t="s">
        <v>6</v>
      </c>
      <c r="HF63" s="2" t="s">
        <v>6</v>
      </c>
      <c r="HG63" s="2"/>
      <c r="HH63" s="2"/>
      <c r="HI63" s="2"/>
      <c r="HJ63" s="2"/>
      <c r="HK63" s="2"/>
      <c r="HL63" s="2"/>
      <c r="HM63" s="2" t="s">
        <v>6</v>
      </c>
      <c r="HN63" s="2" t="s">
        <v>6</v>
      </c>
      <c r="HO63" s="2" t="s">
        <v>6</v>
      </c>
      <c r="HP63" s="2" t="s">
        <v>6</v>
      </c>
      <c r="HQ63" s="2" t="s">
        <v>6</v>
      </c>
      <c r="HR63" s="2"/>
      <c r="HS63" s="2"/>
      <c r="HT63" s="2"/>
      <c r="HU63" s="2"/>
      <c r="HV63" s="2"/>
      <c r="HW63" s="2"/>
      <c r="HX63" s="2"/>
      <c r="HY63" s="2"/>
      <c r="HZ63" s="2"/>
      <c r="IA63" s="2"/>
      <c r="IB63" s="2"/>
      <c r="IC63" s="2"/>
      <c r="ID63" s="2"/>
      <c r="IE63" s="2"/>
      <c r="IF63" s="2">
        <v>-1</v>
      </c>
      <c r="IG63" s="2"/>
      <c r="IH63" s="2"/>
      <c r="II63" s="2"/>
      <c r="IJ63" s="2"/>
      <c r="IK63" s="2">
        <v>0</v>
      </c>
      <c r="IL63" s="2"/>
      <c r="IM63" s="2"/>
      <c r="IN63" s="2"/>
      <c r="IO63" s="2"/>
      <c r="IP63" s="2"/>
      <c r="IQ63" s="2"/>
      <c r="IR63" s="2"/>
      <c r="IS63" s="2"/>
      <c r="IT63" s="2"/>
      <c r="IU63" s="2"/>
    </row>
    <row r="64" spans="1:255" x14ac:dyDescent="0.2">
      <c r="A64">
        <v>18</v>
      </c>
      <c r="B64">
        <v>1</v>
      </c>
      <c r="C64">
        <v>72</v>
      </c>
      <c r="E64" t="s">
        <v>93</v>
      </c>
      <c r="F64" t="e">
        <f>'2.Лок.смета.и.Акт'!#REF!</f>
        <v>#REF!</v>
      </c>
      <c r="G64" t="s">
        <v>55</v>
      </c>
      <c r="H64" t="s">
        <v>44</v>
      </c>
      <c r="I64">
        <f>I60*J64</f>
        <v>0.27071899999999999</v>
      </c>
      <c r="J64">
        <v>1.3200009751816275E-2</v>
      </c>
      <c r="K64">
        <v>1.32E-2</v>
      </c>
      <c r="O64">
        <f t="shared" si="45"/>
        <v>11415</v>
      </c>
      <c r="P64">
        <f t="shared" si="46"/>
        <v>11415</v>
      </c>
      <c r="Q64">
        <f t="shared" si="47"/>
        <v>0</v>
      </c>
      <c r="R64">
        <f t="shared" si="48"/>
        <v>0</v>
      </c>
      <c r="S64">
        <f t="shared" si="49"/>
        <v>0</v>
      </c>
      <c r="T64">
        <f t="shared" si="50"/>
        <v>0</v>
      </c>
      <c r="U64">
        <f t="shared" si="51"/>
        <v>0</v>
      </c>
      <c r="V64">
        <f t="shared" si="52"/>
        <v>0</v>
      </c>
      <c r="W64">
        <f t="shared" si="53"/>
        <v>3</v>
      </c>
      <c r="X64">
        <f t="shared" si="54"/>
        <v>0</v>
      </c>
      <c r="Y64">
        <f t="shared" si="55"/>
        <v>0</v>
      </c>
      <c r="AA64">
        <v>74242617</v>
      </c>
      <c r="AB64">
        <f t="shared" si="56"/>
        <v>5577.39</v>
      </c>
      <c r="AC64">
        <f>ROUND((ES64),2)</f>
        <v>5577.39</v>
      </c>
      <c r="AD64">
        <f t="shared" si="84"/>
        <v>0</v>
      </c>
      <c r="AE64">
        <f t="shared" si="58"/>
        <v>0</v>
      </c>
      <c r="AF64">
        <f t="shared" si="59"/>
        <v>0</v>
      </c>
      <c r="AG64">
        <f t="shared" si="60"/>
        <v>0</v>
      </c>
      <c r="AH64">
        <f t="shared" si="61"/>
        <v>0</v>
      </c>
      <c r="AI64">
        <f t="shared" si="62"/>
        <v>0</v>
      </c>
      <c r="AJ64">
        <f t="shared" si="63"/>
        <v>11.06</v>
      </c>
      <c r="AK64">
        <v>5577.3899999999994</v>
      </c>
      <c r="AL64">
        <v>5577.3899999999994</v>
      </c>
      <c r="AM64">
        <v>0</v>
      </c>
      <c r="AN64">
        <v>0</v>
      </c>
      <c r="AO64">
        <v>0</v>
      </c>
      <c r="AP64">
        <v>0</v>
      </c>
      <c r="AQ64">
        <v>0</v>
      </c>
      <c r="AR64">
        <v>0</v>
      </c>
      <c r="AS64">
        <v>11.06</v>
      </c>
      <c r="AT64">
        <v>0</v>
      </c>
      <c r="AU64">
        <v>0</v>
      </c>
      <c r="AV64">
        <v>1</v>
      </c>
      <c r="AW64">
        <v>1</v>
      </c>
      <c r="AZ64">
        <v>1</v>
      </c>
      <c r="BA64">
        <v>1</v>
      </c>
      <c r="BB64">
        <v>1</v>
      </c>
      <c r="BC64">
        <v>7.56</v>
      </c>
      <c r="BD64" t="s">
        <v>6</v>
      </c>
      <c r="BE64" t="s">
        <v>6</v>
      </c>
      <c r="BF64" t="s">
        <v>6</v>
      </c>
      <c r="BG64" t="s">
        <v>6</v>
      </c>
      <c r="BH64">
        <v>3</v>
      </c>
      <c r="BI64">
        <v>1</v>
      </c>
      <c r="BJ64" t="s">
        <v>45</v>
      </c>
      <c r="BM64">
        <v>500001</v>
      </c>
      <c r="BN64">
        <v>0</v>
      </c>
      <c r="BO64" t="s">
        <v>6</v>
      </c>
      <c r="BP64">
        <v>0</v>
      </c>
      <c r="BQ64">
        <v>8</v>
      </c>
      <c r="BR64">
        <v>0</v>
      </c>
      <c r="BS64">
        <v>1</v>
      </c>
      <c r="BT64">
        <v>1</v>
      </c>
      <c r="BU64">
        <v>1</v>
      </c>
      <c r="BV64">
        <v>1</v>
      </c>
      <c r="BW64">
        <v>1</v>
      </c>
      <c r="BX64">
        <v>1</v>
      </c>
      <c r="BY64" t="s">
        <v>6</v>
      </c>
      <c r="BZ64">
        <v>0</v>
      </c>
      <c r="CA64">
        <v>0</v>
      </c>
      <c r="CB64" t="s">
        <v>6</v>
      </c>
      <c r="CE64">
        <v>0</v>
      </c>
      <c r="CF64">
        <v>0</v>
      </c>
      <c r="CG64">
        <v>0</v>
      </c>
      <c r="CM64">
        <v>0</v>
      </c>
      <c r="CN64" t="s">
        <v>6</v>
      </c>
      <c r="CO64">
        <v>0</v>
      </c>
      <c r="CP64">
        <f t="shared" si="64"/>
        <v>11415</v>
      </c>
      <c r="CQ64">
        <f t="shared" si="65"/>
        <v>42165.068400000004</v>
      </c>
      <c r="CR64">
        <f t="shared" si="66"/>
        <v>0</v>
      </c>
      <c r="CS64">
        <f t="shared" si="67"/>
        <v>0</v>
      </c>
      <c r="CT64">
        <f t="shared" si="68"/>
        <v>0</v>
      </c>
      <c r="CU64">
        <f t="shared" si="69"/>
        <v>0</v>
      </c>
      <c r="CV64">
        <f t="shared" si="70"/>
        <v>0</v>
      </c>
      <c r="CW64">
        <f t="shared" si="71"/>
        <v>0</v>
      </c>
      <c r="CX64">
        <f t="shared" si="72"/>
        <v>11.06</v>
      </c>
      <c r="CY64">
        <f>(S64+R64)*(BZ64/100)</f>
        <v>0</v>
      </c>
      <c r="CZ64">
        <f>(S64+R64)*(CA64/100)</f>
        <v>0</v>
      </c>
      <c r="DC64" t="s">
        <v>6</v>
      </c>
      <c r="DD64" t="s">
        <v>6</v>
      </c>
      <c r="DE64" t="s">
        <v>6</v>
      </c>
      <c r="DF64" t="s">
        <v>6</v>
      </c>
      <c r="DG64" t="s">
        <v>6</v>
      </c>
      <c r="DH64" t="s">
        <v>6</v>
      </c>
      <c r="DI64" t="s">
        <v>6</v>
      </c>
      <c r="DJ64" t="s">
        <v>6</v>
      </c>
      <c r="DK64" t="s">
        <v>6</v>
      </c>
      <c r="DL64" t="s">
        <v>6</v>
      </c>
      <c r="DM64" t="s">
        <v>6</v>
      </c>
      <c r="DN64">
        <v>0</v>
      </c>
      <c r="DO64">
        <v>0</v>
      </c>
      <c r="DP64">
        <v>1</v>
      </c>
      <c r="DQ64">
        <v>1</v>
      </c>
      <c r="DU64">
        <v>1009</v>
      </c>
      <c r="DV64" t="s">
        <v>44</v>
      </c>
      <c r="DW64" t="e">
        <f>'2.Лок.смета.и.Акт'!#REF!</f>
        <v>#REF!</v>
      </c>
      <c r="DX64">
        <v>1000</v>
      </c>
      <c r="DZ64" t="s">
        <v>6</v>
      </c>
      <c r="EA64" t="s">
        <v>6</v>
      </c>
      <c r="EB64" t="s">
        <v>6</v>
      </c>
      <c r="EC64" t="s">
        <v>6</v>
      </c>
      <c r="EE64">
        <v>54328897</v>
      </c>
      <c r="EF64">
        <v>8</v>
      </c>
      <c r="EG64" t="s">
        <v>35</v>
      </c>
      <c r="EH64">
        <v>0</v>
      </c>
      <c r="EI64" t="s">
        <v>6</v>
      </c>
      <c r="EJ64">
        <v>1</v>
      </c>
      <c r="EK64">
        <v>500001</v>
      </c>
      <c r="EL64" t="s">
        <v>36</v>
      </c>
      <c r="EM64" t="s">
        <v>37</v>
      </c>
      <c r="EO64" t="s">
        <v>6</v>
      </c>
      <c r="EQ64">
        <v>0</v>
      </c>
      <c r="ER64">
        <v>5577.3899999999994</v>
      </c>
      <c r="ES64">
        <v>5577.3899999999994</v>
      </c>
      <c r="ET64">
        <v>0</v>
      </c>
      <c r="EU64">
        <v>0</v>
      </c>
      <c r="EV64">
        <v>0</v>
      </c>
      <c r="EW64">
        <v>0</v>
      </c>
      <c r="EX64">
        <v>0</v>
      </c>
      <c r="EZ64">
        <v>5</v>
      </c>
      <c r="FC64">
        <v>0</v>
      </c>
      <c r="FD64">
        <v>18</v>
      </c>
      <c r="FF64">
        <v>40330</v>
      </c>
      <c r="FQ64">
        <v>0</v>
      </c>
      <c r="FR64">
        <f t="shared" si="73"/>
        <v>0</v>
      </c>
      <c r="FS64">
        <v>0</v>
      </c>
      <c r="FX64">
        <v>0</v>
      </c>
      <c r="FY64">
        <v>0</v>
      </c>
      <c r="GA64" t="s">
        <v>46</v>
      </c>
      <c r="GD64">
        <v>1</v>
      </c>
      <c r="GF64">
        <v>-1720905458</v>
      </c>
      <c r="GG64">
        <v>2</v>
      </c>
      <c r="GH64">
        <v>3</v>
      </c>
      <c r="GI64">
        <v>5</v>
      </c>
      <c r="GJ64">
        <v>0</v>
      </c>
      <c r="GK64">
        <v>0</v>
      </c>
      <c r="GL64">
        <f t="shared" si="74"/>
        <v>0</v>
      </c>
      <c r="GM64">
        <f t="shared" si="75"/>
        <v>11415</v>
      </c>
      <c r="GN64">
        <f t="shared" si="76"/>
        <v>11415</v>
      </c>
      <c r="GO64">
        <f t="shared" si="77"/>
        <v>0</v>
      </c>
      <c r="GP64">
        <f t="shared" si="78"/>
        <v>0</v>
      </c>
      <c r="GR64">
        <v>1</v>
      </c>
      <c r="GS64">
        <v>1</v>
      </c>
      <c r="GT64">
        <v>0</v>
      </c>
      <c r="GU64" t="s">
        <v>6</v>
      </c>
      <c r="GV64">
        <f t="shared" si="79"/>
        <v>0</v>
      </c>
      <c r="GW64">
        <v>1</v>
      </c>
      <c r="GX64">
        <f t="shared" si="80"/>
        <v>0</v>
      </c>
      <c r="HA64">
        <v>0</v>
      </c>
      <c r="HB64">
        <v>0</v>
      </c>
      <c r="HC64">
        <f t="shared" si="81"/>
        <v>0</v>
      </c>
      <c r="HE64" t="s">
        <v>39</v>
      </c>
      <c r="HF64" t="s">
        <v>40</v>
      </c>
      <c r="HM64" t="s">
        <v>6</v>
      </c>
      <c r="HN64" t="s">
        <v>6</v>
      </c>
      <c r="HO64" t="s">
        <v>6</v>
      </c>
      <c r="HP64" t="s">
        <v>6</v>
      </c>
      <c r="HQ64" t="s">
        <v>6</v>
      </c>
      <c r="IF64">
        <v>-1</v>
      </c>
      <c r="IK64">
        <v>0</v>
      </c>
    </row>
    <row r="65" spans="1:255" x14ac:dyDescent="0.2">
      <c r="A65" s="2">
        <v>17</v>
      </c>
      <c r="B65" s="2">
        <v>1</v>
      </c>
      <c r="C65" s="2">
        <f>ROW(SmtRes!A81)</f>
        <v>81</v>
      </c>
      <c r="D65" s="2">
        <f>ROW(EtalonRes!A81)</f>
        <v>81</v>
      </c>
      <c r="E65" s="2" t="s">
        <v>94</v>
      </c>
      <c r="F65" s="2" t="s">
        <v>79</v>
      </c>
      <c r="G65" s="2" t="s">
        <v>80</v>
      </c>
      <c r="H65" s="2" t="s">
        <v>50</v>
      </c>
      <c r="I65" s="2">
        <f>'2.Лок.смета.и.Акт'!E34</f>
        <v>20.509</v>
      </c>
      <c r="J65" s="2">
        <v>0</v>
      </c>
      <c r="K65" s="2">
        <v>20.509</v>
      </c>
      <c r="L65" s="2"/>
      <c r="M65" s="2"/>
      <c r="N65" s="2"/>
      <c r="O65" s="2">
        <f t="shared" si="45"/>
        <v>3090</v>
      </c>
      <c r="P65" s="2">
        <f t="shared" si="46"/>
        <v>0</v>
      </c>
      <c r="Q65" s="2">
        <f t="shared" si="47"/>
        <v>167</v>
      </c>
      <c r="R65" s="2">
        <f t="shared" si="48"/>
        <v>5</v>
      </c>
      <c r="S65" s="2">
        <f t="shared" si="49"/>
        <v>2923</v>
      </c>
      <c r="T65" s="2">
        <f t="shared" si="50"/>
        <v>0</v>
      </c>
      <c r="U65" s="2">
        <f t="shared" si="51"/>
        <v>301.07211999999998</v>
      </c>
      <c r="V65" s="2">
        <f t="shared" si="52"/>
        <v>0.41017999999999999</v>
      </c>
      <c r="W65" s="2">
        <f t="shared" si="53"/>
        <v>0</v>
      </c>
      <c r="X65" s="2">
        <f t="shared" si="54"/>
        <v>3074</v>
      </c>
      <c r="Y65" s="2">
        <f t="shared" si="55"/>
        <v>1610</v>
      </c>
      <c r="Z65" s="2"/>
      <c r="AA65" s="2">
        <v>74242616</v>
      </c>
      <c r="AB65" s="2">
        <f t="shared" si="56"/>
        <v>150.69999999999999</v>
      </c>
      <c r="AC65" s="2">
        <f>ROUND((ES65+(SUM(SmtRes!BC73:'SmtRes'!BC81)+SUM(EtalonRes!AL73:'EtalonRes'!AL81))),2)</f>
        <v>0</v>
      </c>
      <c r="AD65" s="2">
        <f t="shared" si="84"/>
        <v>8.16</v>
      </c>
      <c r="AE65" s="2">
        <f t="shared" si="58"/>
        <v>0.26</v>
      </c>
      <c r="AF65" s="2">
        <f t="shared" si="59"/>
        <v>142.54</v>
      </c>
      <c r="AG65" s="2">
        <f t="shared" si="60"/>
        <v>0</v>
      </c>
      <c r="AH65" s="2">
        <f t="shared" si="61"/>
        <v>14.68</v>
      </c>
      <c r="AI65" s="2">
        <f t="shared" si="62"/>
        <v>0.02</v>
      </c>
      <c r="AJ65" s="2">
        <f t="shared" si="63"/>
        <v>0</v>
      </c>
      <c r="AK65" s="2">
        <v>325.91000000000003</v>
      </c>
      <c r="AL65" s="2">
        <v>175.21</v>
      </c>
      <c r="AM65" s="2">
        <v>8.16</v>
      </c>
      <c r="AN65" s="2">
        <v>0.26</v>
      </c>
      <c r="AO65" s="2">
        <v>142.54</v>
      </c>
      <c r="AP65" s="2">
        <v>0</v>
      </c>
      <c r="AQ65" s="2">
        <v>14.68</v>
      </c>
      <c r="AR65" s="2">
        <v>0.02</v>
      </c>
      <c r="AS65" s="2">
        <v>0</v>
      </c>
      <c r="AT65" s="2">
        <v>105</v>
      </c>
      <c r="AU65" s="2">
        <v>55</v>
      </c>
      <c r="AV65" s="2">
        <v>1</v>
      </c>
      <c r="AW65" s="2">
        <v>1</v>
      </c>
      <c r="AX65" s="2"/>
      <c r="AY65" s="2"/>
      <c r="AZ65" s="2">
        <v>1</v>
      </c>
      <c r="BA65" s="2">
        <v>1</v>
      </c>
      <c r="BB65" s="2">
        <v>1</v>
      </c>
      <c r="BC65" s="2">
        <v>1</v>
      </c>
      <c r="BD65" s="2" t="s">
        <v>6</v>
      </c>
      <c r="BE65" s="2" t="s">
        <v>6</v>
      </c>
      <c r="BF65" s="2" t="s">
        <v>6</v>
      </c>
      <c r="BG65" s="2" t="s">
        <v>6</v>
      </c>
      <c r="BH65" s="2">
        <v>0</v>
      </c>
      <c r="BI65" s="2">
        <v>1</v>
      </c>
      <c r="BJ65" s="2" t="s">
        <v>81</v>
      </c>
      <c r="BK65" s="2"/>
      <c r="BL65" s="2"/>
      <c r="BM65" s="2">
        <v>24</v>
      </c>
      <c r="BN65" s="2">
        <v>0</v>
      </c>
      <c r="BO65" s="2" t="s">
        <v>6</v>
      </c>
      <c r="BP65" s="2">
        <v>0</v>
      </c>
      <c r="BQ65" s="2">
        <v>2</v>
      </c>
      <c r="BR65" s="2">
        <v>0</v>
      </c>
      <c r="BS65" s="2">
        <v>1</v>
      </c>
      <c r="BT65" s="2">
        <v>1</v>
      </c>
      <c r="BU65" s="2">
        <v>1</v>
      </c>
      <c r="BV65" s="2">
        <v>1</v>
      </c>
      <c r="BW65" s="2">
        <v>1</v>
      </c>
      <c r="BX65" s="2">
        <v>1</v>
      </c>
      <c r="BY65" s="2" t="s">
        <v>6</v>
      </c>
      <c r="BZ65" s="2">
        <v>105</v>
      </c>
      <c r="CA65" s="2">
        <v>55</v>
      </c>
      <c r="CB65" s="2" t="s">
        <v>6</v>
      </c>
      <c r="CC65" s="2"/>
      <c r="CD65" s="2"/>
      <c r="CE65" s="2">
        <v>0</v>
      </c>
      <c r="CF65" s="2">
        <v>0</v>
      </c>
      <c r="CG65" s="2">
        <v>0</v>
      </c>
      <c r="CH65" s="2"/>
      <c r="CI65" s="2"/>
      <c r="CJ65" s="2"/>
      <c r="CK65" s="2"/>
      <c r="CL65" s="2"/>
      <c r="CM65" s="2">
        <v>0</v>
      </c>
      <c r="CN65" s="2" t="s">
        <v>6</v>
      </c>
      <c r="CO65" s="2">
        <v>0</v>
      </c>
      <c r="CP65" s="2">
        <f t="shared" si="64"/>
        <v>3090</v>
      </c>
      <c r="CQ65" s="2">
        <f t="shared" si="65"/>
        <v>0</v>
      </c>
      <c r="CR65" s="2">
        <f t="shared" si="66"/>
        <v>8.16</v>
      </c>
      <c r="CS65" s="2">
        <f t="shared" si="67"/>
        <v>0.26</v>
      </c>
      <c r="CT65" s="2">
        <f t="shared" si="68"/>
        <v>142.54</v>
      </c>
      <c r="CU65" s="2">
        <f t="shared" si="69"/>
        <v>0</v>
      </c>
      <c r="CV65" s="2">
        <f t="shared" si="70"/>
        <v>14.68</v>
      </c>
      <c r="CW65" s="2">
        <f t="shared" si="71"/>
        <v>0.02</v>
      </c>
      <c r="CX65" s="2">
        <f t="shared" si="72"/>
        <v>0</v>
      </c>
      <c r="CY65" s="2">
        <f>(((S65+R65)*AT65)/100)</f>
        <v>3074.4</v>
      </c>
      <c r="CZ65" s="2">
        <f>(((S65+R65)*AU65)/100)</f>
        <v>1610.4</v>
      </c>
      <c r="DA65" s="2"/>
      <c r="DB65" s="2"/>
      <c r="DC65" s="2" t="s">
        <v>6</v>
      </c>
      <c r="DD65" s="2" t="s">
        <v>6</v>
      </c>
      <c r="DE65" s="2" t="s">
        <v>6</v>
      </c>
      <c r="DF65" s="2" t="s">
        <v>6</v>
      </c>
      <c r="DG65" s="2" t="s">
        <v>6</v>
      </c>
      <c r="DH65" s="2" t="s">
        <v>6</v>
      </c>
      <c r="DI65" s="2" t="s">
        <v>6</v>
      </c>
      <c r="DJ65" s="2" t="s">
        <v>6</v>
      </c>
      <c r="DK65" s="2" t="s">
        <v>6</v>
      </c>
      <c r="DL65" s="2" t="s">
        <v>6</v>
      </c>
      <c r="DM65" s="2" t="s">
        <v>6</v>
      </c>
      <c r="DN65" s="2">
        <v>0</v>
      </c>
      <c r="DO65" s="2">
        <v>0</v>
      </c>
      <c r="DP65" s="2">
        <v>1</v>
      </c>
      <c r="DQ65" s="2">
        <v>1</v>
      </c>
      <c r="DR65" s="2"/>
      <c r="DS65" s="2"/>
      <c r="DT65" s="2"/>
      <c r="DU65" s="2">
        <v>1005</v>
      </c>
      <c r="DV65" s="2" t="s">
        <v>50</v>
      </c>
      <c r="DW65" s="2" t="s">
        <v>50</v>
      </c>
      <c r="DX65" s="2">
        <v>100</v>
      </c>
      <c r="DY65" s="2"/>
      <c r="DZ65" s="2" t="s">
        <v>6</v>
      </c>
      <c r="EA65" s="2" t="s">
        <v>6</v>
      </c>
      <c r="EB65" s="2" t="s">
        <v>6</v>
      </c>
      <c r="EC65" s="2" t="s">
        <v>6</v>
      </c>
      <c r="ED65" s="2"/>
      <c r="EE65" s="2">
        <v>54328923</v>
      </c>
      <c r="EF65" s="2">
        <v>2</v>
      </c>
      <c r="EG65" s="2" t="s">
        <v>25</v>
      </c>
      <c r="EH65" s="2">
        <v>0</v>
      </c>
      <c r="EI65" s="2" t="s">
        <v>6</v>
      </c>
      <c r="EJ65" s="2">
        <v>1</v>
      </c>
      <c r="EK65" s="2">
        <v>24</v>
      </c>
      <c r="EL65" s="2" t="s">
        <v>26</v>
      </c>
      <c r="EM65" s="2" t="s">
        <v>52</v>
      </c>
      <c r="EN65" s="2"/>
      <c r="EO65" s="2" t="s">
        <v>6</v>
      </c>
      <c r="EP65" s="2"/>
      <c r="EQ65" s="2">
        <v>131072</v>
      </c>
      <c r="ER65" s="2">
        <v>325.91000000000003</v>
      </c>
      <c r="ES65" s="2">
        <v>175.21</v>
      </c>
      <c r="ET65" s="2">
        <v>8.16</v>
      </c>
      <c r="EU65" s="2">
        <v>0.26</v>
      </c>
      <c r="EV65" s="2">
        <v>142.54</v>
      </c>
      <c r="EW65" s="2">
        <v>14.68</v>
      </c>
      <c r="EX65" s="2">
        <v>0.02</v>
      </c>
      <c r="EY65" s="2">
        <v>1</v>
      </c>
      <c r="EZ65" s="2"/>
      <c r="FA65" s="2"/>
      <c r="FB65" s="2"/>
      <c r="FC65" s="2"/>
      <c r="FD65" s="2"/>
      <c r="FE65" s="2"/>
      <c r="FF65" s="2"/>
      <c r="FG65" s="2"/>
      <c r="FH65" s="2"/>
      <c r="FI65" s="2"/>
      <c r="FJ65" s="2"/>
      <c r="FK65" s="2"/>
      <c r="FL65" s="2"/>
      <c r="FM65" s="2"/>
      <c r="FN65" s="2"/>
      <c r="FO65" s="2"/>
      <c r="FP65" s="2"/>
      <c r="FQ65" s="2">
        <v>0</v>
      </c>
      <c r="FR65" s="2">
        <f t="shared" si="73"/>
        <v>0</v>
      </c>
      <c r="FS65" s="2">
        <v>0</v>
      </c>
      <c r="FT65" s="2"/>
      <c r="FU65" s="2"/>
      <c r="FV65" s="2"/>
      <c r="FW65" s="2"/>
      <c r="FX65" s="2">
        <v>105</v>
      </c>
      <c r="FY65" s="2">
        <v>55</v>
      </c>
      <c r="FZ65" s="2"/>
      <c r="GA65" s="2" t="s">
        <v>6</v>
      </c>
      <c r="GB65" s="2"/>
      <c r="GC65" s="2"/>
      <c r="GD65" s="2">
        <v>1</v>
      </c>
      <c r="GE65" s="2"/>
      <c r="GF65" s="2">
        <v>-1873536957</v>
      </c>
      <c r="GG65" s="2">
        <v>2</v>
      </c>
      <c r="GH65" s="2">
        <v>1</v>
      </c>
      <c r="GI65" s="2">
        <v>-2</v>
      </c>
      <c r="GJ65" s="2">
        <v>0</v>
      </c>
      <c r="GK65" s="2">
        <v>0</v>
      </c>
      <c r="GL65" s="2">
        <f t="shared" si="74"/>
        <v>0</v>
      </c>
      <c r="GM65" s="2">
        <f t="shared" si="75"/>
        <v>7774</v>
      </c>
      <c r="GN65" s="2">
        <f t="shared" si="76"/>
        <v>7774</v>
      </c>
      <c r="GO65" s="2">
        <f t="shared" si="77"/>
        <v>0</v>
      </c>
      <c r="GP65" s="2">
        <f t="shared" si="78"/>
        <v>0</v>
      </c>
      <c r="GQ65" s="2"/>
      <c r="GR65" s="2">
        <v>0</v>
      </c>
      <c r="GS65" s="2">
        <v>3</v>
      </c>
      <c r="GT65" s="2">
        <v>0</v>
      </c>
      <c r="GU65" s="2" t="s">
        <v>6</v>
      </c>
      <c r="GV65" s="2">
        <f t="shared" si="79"/>
        <v>0</v>
      </c>
      <c r="GW65" s="2">
        <v>1</v>
      </c>
      <c r="GX65" s="2">
        <f t="shared" si="80"/>
        <v>0</v>
      </c>
      <c r="GY65" s="2"/>
      <c r="GZ65" s="2"/>
      <c r="HA65" s="2">
        <v>0</v>
      </c>
      <c r="HB65" s="2">
        <v>0</v>
      </c>
      <c r="HC65" s="2">
        <f t="shared" si="81"/>
        <v>0</v>
      </c>
      <c r="HD65" s="2"/>
      <c r="HE65" s="2" t="s">
        <v>6</v>
      </c>
      <c r="HF65" s="2" t="s">
        <v>6</v>
      </c>
      <c r="HG65" s="2"/>
      <c r="HH65" s="2"/>
      <c r="HI65" s="2"/>
      <c r="HJ65" s="2"/>
      <c r="HK65" s="2"/>
      <c r="HL65" s="2"/>
      <c r="HM65" s="2" t="s">
        <v>6</v>
      </c>
      <c r="HN65" s="2" t="s">
        <v>6</v>
      </c>
      <c r="HO65" s="2" t="s">
        <v>6</v>
      </c>
      <c r="HP65" s="2" t="s">
        <v>6</v>
      </c>
      <c r="HQ65" s="2" t="s">
        <v>6</v>
      </c>
      <c r="HR65" s="2"/>
      <c r="HS65" s="2"/>
      <c r="HT65" s="2"/>
      <c r="HU65" s="2"/>
      <c r="HV65" s="2"/>
      <c r="HW65" s="2"/>
      <c r="HX65" s="2"/>
      <c r="HY65" s="2"/>
      <c r="HZ65" s="2"/>
      <c r="IA65" s="2"/>
      <c r="IB65" s="2"/>
      <c r="IC65" s="2"/>
      <c r="ID65" s="2"/>
      <c r="IE65" s="2"/>
      <c r="IF65" s="2">
        <v>-1</v>
      </c>
      <c r="IG65" s="2"/>
      <c r="IH65" s="2"/>
      <c r="II65" s="2"/>
      <c r="IJ65" s="2"/>
      <c r="IK65" s="2">
        <v>0</v>
      </c>
      <c r="IL65" s="2"/>
      <c r="IM65" s="2"/>
      <c r="IN65" s="2"/>
      <c r="IO65" s="2"/>
      <c r="IP65" s="2"/>
      <c r="IQ65" s="2"/>
      <c r="IR65" s="2"/>
      <c r="IS65" s="2"/>
      <c r="IT65" s="2"/>
      <c r="IU65" s="2"/>
    </row>
    <row r="66" spans="1:255" x14ac:dyDescent="0.2">
      <c r="A66">
        <v>17</v>
      </c>
      <c r="B66">
        <v>1</v>
      </c>
      <c r="C66">
        <f>ROW(SmtRes!A90)</f>
        <v>90</v>
      </c>
      <c r="D66">
        <f>ROW(EtalonRes!A90)</f>
        <v>90</v>
      </c>
      <c r="E66" t="s">
        <v>94</v>
      </c>
      <c r="F66" t="s">
        <v>79</v>
      </c>
      <c r="G66" t="s">
        <v>80</v>
      </c>
      <c r="H66" t="s">
        <v>50</v>
      </c>
      <c r="I66">
        <f>'2.Лок.смета.и.Акт'!E34</f>
        <v>20.509</v>
      </c>
      <c r="J66">
        <v>0</v>
      </c>
      <c r="K66">
        <v>20.509</v>
      </c>
      <c r="O66">
        <f t="shared" si="45"/>
        <v>103285</v>
      </c>
      <c r="P66">
        <f t="shared" si="46"/>
        <v>0</v>
      </c>
      <c r="Q66">
        <f t="shared" si="47"/>
        <v>2137</v>
      </c>
      <c r="R66">
        <f t="shared" si="48"/>
        <v>161</v>
      </c>
      <c r="S66">
        <f t="shared" si="49"/>
        <v>101148</v>
      </c>
      <c r="T66">
        <f t="shared" si="50"/>
        <v>0</v>
      </c>
      <c r="U66" t="e">
        <f t="shared" si="51"/>
        <v>#REF!</v>
      </c>
      <c r="V66">
        <f t="shared" si="52"/>
        <v>0.41017999999999999</v>
      </c>
      <c r="W66">
        <f t="shared" si="53"/>
        <v>0</v>
      </c>
      <c r="X66" t="e">
        <f t="shared" si="54"/>
        <v>#REF!</v>
      </c>
      <c r="Y66" t="e">
        <f t="shared" si="55"/>
        <v>#REF!</v>
      </c>
      <c r="AA66">
        <v>74242617</v>
      </c>
      <c r="AB66">
        <f t="shared" si="56"/>
        <v>150.69999999999999</v>
      </c>
      <c r="AC66">
        <f>ROUND((ES66+(SUM(SmtRes!BC82:'SmtRes'!BC90)+SUM(EtalonRes!AL82:'EtalonRes'!AL90))),2)</f>
        <v>0</v>
      </c>
      <c r="AD66">
        <f t="shared" si="84"/>
        <v>8.16</v>
      </c>
      <c r="AE66">
        <f t="shared" si="58"/>
        <v>0.26</v>
      </c>
      <c r="AF66">
        <f t="shared" si="59"/>
        <v>142.54</v>
      </c>
      <c r="AG66">
        <f t="shared" si="60"/>
        <v>0</v>
      </c>
      <c r="AH66" t="e">
        <f t="shared" si="61"/>
        <v>#REF!</v>
      </c>
      <c r="AI66">
        <f t="shared" si="62"/>
        <v>0.02</v>
      </c>
      <c r="AJ66">
        <f t="shared" si="63"/>
        <v>0</v>
      </c>
      <c r="AK66">
        <f>AL66+AM66+AO66</f>
        <v>325.90999999999997</v>
      </c>
      <c r="AL66">
        <v>175.21</v>
      </c>
      <c r="AM66" s="76">
        <f>'1.Лок.смета.и.Акт'!F135</f>
        <v>8.16</v>
      </c>
      <c r="AN66" s="76">
        <f>'1.Лок.смета.и.Акт'!F136</f>
        <v>0.26</v>
      </c>
      <c r="AO66" s="76">
        <f>'1.Лок.смета.и.Акт'!F134</f>
        <v>142.54</v>
      </c>
      <c r="AP66">
        <v>0</v>
      </c>
      <c r="AQ66" t="e">
        <f>'2.Лок.смета.и.Акт'!#REF!</f>
        <v>#REF!</v>
      </c>
      <c r="AR66">
        <v>0.02</v>
      </c>
      <c r="AS66">
        <v>0</v>
      </c>
      <c r="AT66">
        <v>105</v>
      </c>
      <c r="AU66">
        <v>55</v>
      </c>
      <c r="AV66">
        <v>1</v>
      </c>
      <c r="AW66">
        <v>1</v>
      </c>
      <c r="AZ66">
        <v>1</v>
      </c>
      <c r="BA66">
        <f>'1.Лок.смета.и.Акт'!J134</f>
        <v>34.6</v>
      </c>
      <c r="BB66">
        <f>'1.Лок.смета.и.Акт'!J135</f>
        <v>12.77</v>
      </c>
      <c r="BC66">
        <v>7.56</v>
      </c>
      <c r="BD66" t="s">
        <v>6</v>
      </c>
      <c r="BE66" t="s">
        <v>6</v>
      </c>
      <c r="BF66" t="s">
        <v>6</v>
      </c>
      <c r="BG66" t="s">
        <v>6</v>
      </c>
      <c r="BH66">
        <v>0</v>
      </c>
      <c r="BI66">
        <v>1</v>
      </c>
      <c r="BJ66" t="s">
        <v>81</v>
      </c>
      <c r="BM66">
        <v>24</v>
      </c>
      <c r="BN66">
        <v>0</v>
      </c>
      <c r="BO66" t="s">
        <v>79</v>
      </c>
      <c r="BP66">
        <v>1</v>
      </c>
      <c r="BQ66">
        <v>2</v>
      </c>
      <c r="BR66">
        <v>0</v>
      </c>
      <c r="BS66">
        <f>'1.Лок.смета.и.Акт'!J136</f>
        <v>30.1</v>
      </c>
      <c r="BT66">
        <v>1</v>
      </c>
      <c r="BU66">
        <v>1</v>
      </c>
      <c r="BV66">
        <v>1</v>
      </c>
      <c r="BW66">
        <v>1</v>
      </c>
      <c r="BX66">
        <v>1</v>
      </c>
      <c r="BY66" t="s">
        <v>6</v>
      </c>
      <c r="BZ66" t="e">
        <f>'2.Лок.смета.и.Акт'!#REF!</f>
        <v>#REF!</v>
      </c>
      <c r="CA66" t="e">
        <f>'2.Лок.смета.и.Акт'!#REF!</f>
        <v>#REF!</v>
      </c>
      <c r="CB66" t="s">
        <v>6</v>
      </c>
      <c r="CE66">
        <v>0</v>
      </c>
      <c r="CF66">
        <v>0</v>
      </c>
      <c r="CG66">
        <v>0</v>
      </c>
      <c r="CM66">
        <v>0</v>
      </c>
      <c r="CN66" t="s">
        <v>6</v>
      </c>
      <c r="CO66">
        <v>0</v>
      </c>
      <c r="CP66">
        <f t="shared" si="64"/>
        <v>103285</v>
      </c>
      <c r="CQ66">
        <f t="shared" si="65"/>
        <v>0</v>
      </c>
      <c r="CR66">
        <f t="shared" si="66"/>
        <v>104.2032</v>
      </c>
      <c r="CS66">
        <f t="shared" si="67"/>
        <v>7.8260000000000005</v>
      </c>
      <c r="CT66">
        <f t="shared" si="68"/>
        <v>4931.884</v>
      </c>
      <c r="CU66">
        <f t="shared" si="69"/>
        <v>0</v>
      </c>
      <c r="CV66" t="e">
        <f t="shared" si="70"/>
        <v>#REF!</v>
      </c>
      <c r="CW66">
        <f t="shared" si="71"/>
        <v>0.02</v>
      </c>
      <c r="CX66">
        <f t="shared" si="72"/>
        <v>0</v>
      </c>
      <c r="CY66" t="e">
        <f>(S66+R66)*(BZ66/100)</f>
        <v>#REF!</v>
      </c>
      <c r="CZ66" t="e">
        <f>(S66+R66)*(CA66/100)</f>
        <v>#REF!</v>
      </c>
      <c r="DC66" t="s">
        <v>6</v>
      </c>
      <c r="DD66" t="s">
        <v>6</v>
      </c>
      <c r="DE66" t="s">
        <v>6</v>
      </c>
      <c r="DF66" t="s">
        <v>6</v>
      </c>
      <c r="DG66" t="s">
        <v>6</v>
      </c>
      <c r="DH66" t="s">
        <v>6</v>
      </c>
      <c r="DI66" t="s">
        <v>6</v>
      </c>
      <c r="DJ66" t="s">
        <v>6</v>
      </c>
      <c r="DK66" t="s">
        <v>6</v>
      </c>
      <c r="DL66" t="s">
        <v>6</v>
      </c>
      <c r="DM66" t="s">
        <v>6</v>
      </c>
      <c r="DN66">
        <f>'1.Лок.смета.и.Акт'!E137</f>
        <v>105</v>
      </c>
      <c r="DO66">
        <f>'1.Лок.смета.и.Акт'!E138</f>
        <v>55</v>
      </c>
      <c r="DP66">
        <v>1</v>
      </c>
      <c r="DQ66">
        <v>1</v>
      </c>
      <c r="DU66">
        <v>1005</v>
      </c>
      <c r="DV66" t="s">
        <v>50</v>
      </c>
      <c r="DW66" t="str">
        <f>'2.Лок.смета.и.Акт'!D34</f>
        <v>100 м2</v>
      </c>
      <c r="DX66">
        <v>100</v>
      </c>
      <c r="DZ66" t="s">
        <v>6</v>
      </c>
      <c r="EA66" t="s">
        <v>6</v>
      </c>
      <c r="EB66" t="s">
        <v>6</v>
      </c>
      <c r="EC66" t="s">
        <v>6</v>
      </c>
      <c r="EE66">
        <v>54328923</v>
      </c>
      <c r="EF66">
        <v>2</v>
      </c>
      <c r="EG66" t="s">
        <v>25</v>
      </c>
      <c r="EH66">
        <v>0</v>
      </c>
      <c r="EI66" t="s">
        <v>6</v>
      </c>
      <c r="EJ66">
        <v>1</v>
      </c>
      <c r="EK66">
        <v>24</v>
      </c>
      <c r="EL66" t="s">
        <v>26</v>
      </c>
      <c r="EM66" t="s">
        <v>52</v>
      </c>
      <c r="EO66" t="s">
        <v>6</v>
      </c>
      <c r="EQ66">
        <v>131072</v>
      </c>
      <c r="ER66">
        <f>ES66+ET66+EV66</f>
        <v>325.90999999999997</v>
      </c>
      <c r="ES66">
        <v>175.21</v>
      </c>
      <c r="ET66" s="76">
        <f>'1.Лок.смета.и.Акт'!F135</f>
        <v>8.16</v>
      </c>
      <c r="EU66" s="76">
        <f>'1.Лок.смета.и.Акт'!F136</f>
        <v>0.26</v>
      </c>
      <c r="EV66" s="76">
        <f>'1.Лок.смета.и.Акт'!F134</f>
        <v>142.54</v>
      </c>
      <c r="EW66" t="e">
        <f>'2.Лок.смета.и.Акт'!#REF!</f>
        <v>#REF!</v>
      </c>
      <c r="EX66">
        <v>0.02</v>
      </c>
      <c r="EY66">
        <v>1</v>
      </c>
      <c r="FQ66">
        <v>0</v>
      </c>
      <c r="FR66">
        <f t="shared" si="73"/>
        <v>0</v>
      </c>
      <c r="FS66">
        <v>0</v>
      </c>
      <c r="FX66">
        <v>105</v>
      </c>
      <c r="FY66">
        <v>55</v>
      </c>
      <c r="GA66" t="s">
        <v>6</v>
      </c>
      <c r="GD66">
        <v>1</v>
      </c>
      <c r="GF66">
        <v>-1873536957</v>
      </c>
      <c r="GG66">
        <v>2</v>
      </c>
      <c r="GH66">
        <v>1</v>
      </c>
      <c r="GI66">
        <v>2</v>
      </c>
      <c r="GJ66">
        <v>0</v>
      </c>
      <c r="GK66">
        <v>0</v>
      </c>
      <c r="GL66">
        <f t="shared" si="74"/>
        <v>0</v>
      </c>
      <c r="GM66" t="e">
        <f t="shared" si="75"/>
        <v>#REF!</v>
      </c>
      <c r="GN66" t="e">
        <f t="shared" si="76"/>
        <v>#REF!</v>
      </c>
      <c r="GO66">
        <f t="shared" si="77"/>
        <v>0</v>
      </c>
      <c r="GP66">
        <f t="shared" si="78"/>
        <v>0</v>
      </c>
      <c r="GR66">
        <v>0</v>
      </c>
      <c r="GS66">
        <v>0</v>
      </c>
      <c r="GT66">
        <v>0</v>
      </c>
      <c r="GU66" t="s">
        <v>6</v>
      </c>
      <c r="GV66">
        <f t="shared" si="79"/>
        <v>0</v>
      </c>
      <c r="GW66">
        <v>1009.6</v>
      </c>
      <c r="GX66">
        <f t="shared" si="80"/>
        <v>0</v>
      </c>
      <c r="HA66">
        <v>0</v>
      </c>
      <c r="HB66">
        <v>0</v>
      </c>
      <c r="HC66">
        <f t="shared" si="81"/>
        <v>0</v>
      </c>
      <c r="HE66" t="s">
        <v>6</v>
      </c>
      <c r="HF66" t="s">
        <v>6</v>
      </c>
      <c r="HM66" t="s">
        <v>6</v>
      </c>
      <c r="HN66" t="s">
        <v>6</v>
      </c>
      <c r="HO66" t="s">
        <v>6</v>
      </c>
      <c r="HP66" t="s">
        <v>6</v>
      </c>
      <c r="HQ66" t="s">
        <v>6</v>
      </c>
      <c r="IF66">
        <v>-1</v>
      </c>
      <c r="IK66">
        <v>0</v>
      </c>
    </row>
    <row r="67" spans="1:255" x14ac:dyDescent="0.2">
      <c r="A67" s="2">
        <v>18</v>
      </c>
      <c r="B67" s="2">
        <v>1</v>
      </c>
      <c r="C67" s="2">
        <v>78</v>
      </c>
      <c r="D67" s="2"/>
      <c r="E67" s="2" t="s">
        <v>95</v>
      </c>
      <c r="F67" s="2" t="s">
        <v>61</v>
      </c>
      <c r="G67" s="2" t="s">
        <v>62</v>
      </c>
      <c r="H67" s="2" t="s">
        <v>63</v>
      </c>
      <c r="I67" s="2">
        <f>I65*J67</f>
        <v>0.24610800000000002</v>
      </c>
      <c r="J67" s="207">
        <f>'5.Ведомость_списания'!F49</f>
        <v>1.2E-2</v>
      </c>
      <c r="K67" s="2">
        <v>1.2E-2</v>
      </c>
      <c r="L67" s="2"/>
      <c r="M67" s="2"/>
      <c r="N67" s="2"/>
      <c r="O67" s="2">
        <f t="shared" si="45"/>
        <v>14</v>
      </c>
      <c r="P67" s="2">
        <f t="shared" si="46"/>
        <v>14</v>
      </c>
      <c r="Q67" s="2">
        <f t="shared" si="47"/>
        <v>0</v>
      </c>
      <c r="R67" s="2">
        <f t="shared" si="48"/>
        <v>0</v>
      </c>
      <c r="S67" s="2">
        <f t="shared" si="49"/>
        <v>0</v>
      </c>
      <c r="T67" s="2">
        <f t="shared" si="50"/>
        <v>0</v>
      </c>
      <c r="U67" s="2">
        <f t="shared" si="51"/>
        <v>0</v>
      </c>
      <c r="V67" s="2">
        <f t="shared" si="52"/>
        <v>0</v>
      </c>
      <c r="W67" s="2">
        <f t="shared" si="53"/>
        <v>0</v>
      </c>
      <c r="X67" s="2">
        <f t="shared" si="54"/>
        <v>0</v>
      </c>
      <c r="Y67" s="2">
        <f t="shared" si="55"/>
        <v>0</v>
      </c>
      <c r="Z67" s="2"/>
      <c r="AA67" s="2">
        <v>74242616</v>
      </c>
      <c r="AB67" s="2">
        <f t="shared" si="56"/>
        <v>57.14</v>
      </c>
      <c r="AC67" s="2">
        <f t="shared" ref="AC67:AD74" si="85">ROUND((ES67),2)</f>
        <v>57.14</v>
      </c>
      <c r="AD67" s="2">
        <f t="shared" si="85"/>
        <v>0</v>
      </c>
      <c r="AE67" s="2">
        <f t="shared" si="58"/>
        <v>0</v>
      </c>
      <c r="AF67" s="2">
        <f t="shared" si="59"/>
        <v>0</v>
      </c>
      <c r="AG67" s="2">
        <f t="shared" si="60"/>
        <v>0</v>
      </c>
      <c r="AH67" s="2">
        <f t="shared" si="61"/>
        <v>0</v>
      </c>
      <c r="AI67" s="2">
        <f t="shared" si="62"/>
        <v>0</v>
      </c>
      <c r="AJ67" s="2">
        <f t="shared" si="63"/>
        <v>0</v>
      </c>
      <c r="AK67" s="2">
        <v>57.14</v>
      </c>
      <c r="AL67" s="111">
        <f>'1.Лок.смета.и.Акт'!F140</f>
        <v>57.14</v>
      </c>
      <c r="AM67" s="2">
        <v>0</v>
      </c>
      <c r="AN67" s="2">
        <v>0</v>
      </c>
      <c r="AO67" s="2">
        <v>0</v>
      </c>
      <c r="AP67" s="2">
        <v>0</v>
      </c>
      <c r="AQ67" s="2">
        <v>0</v>
      </c>
      <c r="AR67" s="2">
        <v>0</v>
      </c>
      <c r="AS67" s="2">
        <v>0</v>
      </c>
      <c r="AT67" s="2">
        <v>0</v>
      </c>
      <c r="AU67" s="2">
        <v>0</v>
      </c>
      <c r="AV67" s="2">
        <v>1</v>
      </c>
      <c r="AW67" s="2">
        <v>1</v>
      </c>
      <c r="AX67" s="2"/>
      <c r="AY67" s="2"/>
      <c r="AZ67" s="2">
        <v>1</v>
      </c>
      <c r="BA67" s="2">
        <v>1</v>
      </c>
      <c r="BB67" s="2">
        <v>1</v>
      </c>
      <c r="BC67" s="2">
        <v>1</v>
      </c>
      <c r="BD67" s="2" t="s">
        <v>6</v>
      </c>
      <c r="BE67" s="2" t="s">
        <v>6</v>
      </c>
      <c r="BF67" s="2" t="s">
        <v>6</v>
      </c>
      <c r="BG67" s="2" t="s">
        <v>6</v>
      </c>
      <c r="BH67" s="2">
        <v>3</v>
      </c>
      <c r="BI67" s="2">
        <v>0</v>
      </c>
      <c r="BJ67" s="2" t="s">
        <v>64</v>
      </c>
      <c r="BK67" s="2"/>
      <c r="BL67" s="2"/>
      <c r="BM67" s="2">
        <v>3101</v>
      </c>
      <c r="BN67" s="2">
        <v>0</v>
      </c>
      <c r="BO67" s="2" t="s">
        <v>6</v>
      </c>
      <c r="BP67" s="2">
        <v>0</v>
      </c>
      <c r="BQ67" s="2">
        <v>0</v>
      </c>
      <c r="BR67" s="2">
        <v>0</v>
      </c>
      <c r="BS67" s="2">
        <v>1</v>
      </c>
      <c r="BT67" s="2">
        <v>1</v>
      </c>
      <c r="BU67" s="2">
        <v>1</v>
      </c>
      <c r="BV67" s="2">
        <v>1</v>
      </c>
      <c r="BW67" s="2">
        <v>1</v>
      </c>
      <c r="BX67" s="2">
        <v>1</v>
      </c>
      <c r="BY67" s="2" t="s">
        <v>6</v>
      </c>
      <c r="BZ67" s="2">
        <v>0</v>
      </c>
      <c r="CA67" s="2">
        <v>0</v>
      </c>
      <c r="CB67" s="2" t="s">
        <v>6</v>
      </c>
      <c r="CC67" s="2"/>
      <c r="CD67" s="2"/>
      <c r="CE67" s="2">
        <v>0</v>
      </c>
      <c r="CF67" s="2">
        <v>0</v>
      </c>
      <c r="CG67" s="2">
        <v>0</v>
      </c>
      <c r="CH67" s="2"/>
      <c r="CI67" s="2"/>
      <c r="CJ67" s="2"/>
      <c r="CK67" s="2"/>
      <c r="CL67" s="2"/>
      <c r="CM67" s="2">
        <v>0</v>
      </c>
      <c r="CN67" s="2" t="s">
        <v>6</v>
      </c>
      <c r="CO67" s="2">
        <v>0</v>
      </c>
      <c r="CP67" s="2">
        <f t="shared" si="64"/>
        <v>14</v>
      </c>
      <c r="CQ67" s="2">
        <f t="shared" si="65"/>
        <v>57.14</v>
      </c>
      <c r="CR67" s="2">
        <f t="shared" si="66"/>
        <v>0</v>
      </c>
      <c r="CS67" s="2">
        <f t="shared" si="67"/>
        <v>0</v>
      </c>
      <c r="CT67" s="2">
        <f t="shared" si="68"/>
        <v>0</v>
      </c>
      <c r="CU67" s="2">
        <f t="shared" si="69"/>
        <v>0</v>
      </c>
      <c r="CV67" s="2">
        <f t="shared" si="70"/>
        <v>0</v>
      </c>
      <c r="CW67" s="2">
        <f t="shared" si="71"/>
        <v>0</v>
      </c>
      <c r="CX67" s="2">
        <f t="shared" si="72"/>
        <v>0</v>
      </c>
      <c r="CY67" s="2">
        <f>0</f>
        <v>0</v>
      </c>
      <c r="CZ67" s="2">
        <f>0</f>
        <v>0</v>
      </c>
      <c r="DA67" s="2"/>
      <c r="DB67" s="2"/>
      <c r="DC67" s="2" t="s">
        <v>6</v>
      </c>
      <c r="DD67" s="2" t="s">
        <v>6</v>
      </c>
      <c r="DE67" s="2" t="s">
        <v>6</v>
      </c>
      <c r="DF67" s="2" t="s">
        <v>6</v>
      </c>
      <c r="DG67" s="2" t="s">
        <v>6</v>
      </c>
      <c r="DH67" s="2" t="s">
        <v>6</v>
      </c>
      <c r="DI67" s="2" t="s">
        <v>6</v>
      </c>
      <c r="DJ67" s="2" t="s">
        <v>6</v>
      </c>
      <c r="DK67" s="2" t="s">
        <v>6</v>
      </c>
      <c r="DL67" s="2" t="s">
        <v>6</v>
      </c>
      <c r="DM67" s="2" t="s">
        <v>6</v>
      </c>
      <c r="DN67" s="2">
        <v>0</v>
      </c>
      <c r="DO67" s="2">
        <v>0</v>
      </c>
      <c r="DP67" s="2">
        <v>1</v>
      </c>
      <c r="DQ67" s="2">
        <v>1</v>
      </c>
      <c r="DR67" s="2"/>
      <c r="DS67" s="2"/>
      <c r="DT67" s="2"/>
      <c r="DU67" s="2">
        <v>1005</v>
      </c>
      <c r="DV67" s="2" t="s">
        <v>63</v>
      </c>
      <c r="DW67" s="2" t="s">
        <v>63</v>
      </c>
      <c r="DX67" s="2">
        <v>1</v>
      </c>
      <c r="DY67" s="2"/>
      <c r="DZ67" s="2" t="s">
        <v>6</v>
      </c>
      <c r="EA67" s="2" t="s">
        <v>6</v>
      </c>
      <c r="EB67" s="2" t="s">
        <v>6</v>
      </c>
      <c r="EC67" s="2" t="s">
        <v>6</v>
      </c>
      <c r="ED67" s="2"/>
      <c r="EE67" s="2">
        <v>0</v>
      </c>
      <c r="EF67" s="2">
        <v>0</v>
      </c>
      <c r="EG67" s="2" t="s">
        <v>6</v>
      </c>
      <c r="EH67" s="2">
        <v>0</v>
      </c>
      <c r="EI67" s="2" t="s">
        <v>6</v>
      </c>
      <c r="EJ67" s="2">
        <v>0</v>
      </c>
      <c r="EK67" s="2">
        <v>3101</v>
      </c>
      <c r="EL67" s="2" t="s">
        <v>6</v>
      </c>
      <c r="EM67" s="2" t="s">
        <v>6</v>
      </c>
      <c r="EN67" s="2"/>
      <c r="EO67" s="2" t="s">
        <v>6</v>
      </c>
      <c r="EP67" s="2"/>
      <c r="EQ67" s="2">
        <v>0</v>
      </c>
      <c r="ER67" s="2">
        <v>57.14</v>
      </c>
      <c r="ES67" s="111">
        <f>'1.Лок.смета.и.Акт'!F140</f>
        <v>57.14</v>
      </c>
      <c r="ET67" s="2">
        <v>0</v>
      </c>
      <c r="EU67" s="2">
        <v>0</v>
      </c>
      <c r="EV67" s="2">
        <v>0</v>
      </c>
      <c r="EW67" s="2">
        <v>0</v>
      </c>
      <c r="EX67" s="2">
        <v>0</v>
      </c>
      <c r="EY67" s="2"/>
      <c r="EZ67" s="2"/>
      <c r="FA67" s="2"/>
      <c r="FB67" s="2"/>
      <c r="FC67" s="2"/>
      <c r="FD67" s="2"/>
      <c r="FE67" s="2"/>
      <c r="FF67" s="2"/>
      <c r="FG67" s="2"/>
      <c r="FH67" s="2"/>
      <c r="FI67" s="2"/>
      <c r="FJ67" s="2"/>
      <c r="FK67" s="2"/>
      <c r="FL67" s="2"/>
      <c r="FM67" s="2"/>
      <c r="FN67" s="2"/>
      <c r="FO67" s="2"/>
      <c r="FP67" s="2"/>
      <c r="FQ67" s="2">
        <v>0</v>
      </c>
      <c r="FR67" s="2">
        <f t="shared" si="73"/>
        <v>0</v>
      </c>
      <c r="FS67" s="2">
        <v>0</v>
      </c>
      <c r="FT67" s="2"/>
      <c r="FU67" s="2"/>
      <c r="FV67" s="2"/>
      <c r="FW67" s="2"/>
      <c r="FX67" s="2">
        <v>0</v>
      </c>
      <c r="FY67" s="2">
        <v>0</v>
      </c>
      <c r="FZ67" s="2"/>
      <c r="GA67" s="2" t="s">
        <v>6</v>
      </c>
      <c r="GB67" s="2"/>
      <c r="GC67" s="2"/>
      <c r="GD67" s="2">
        <v>1</v>
      </c>
      <c r="GE67" s="2"/>
      <c r="GF67" s="2">
        <v>-1540695423</v>
      </c>
      <c r="GG67" s="2">
        <v>2</v>
      </c>
      <c r="GH67" s="2">
        <v>1</v>
      </c>
      <c r="GI67" s="2">
        <v>-2</v>
      </c>
      <c r="GJ67" s="2">
        <v>0</v>
      </c>
      <c r="GK67" s="2">
        <v>0</v>
      </c>
      <c r="GL67" s="2">
        <f t="shared" si="74"/>
        <v>0</v>
      </c>
      <c r="GM67" s="2">
        <f t="shared" si="75"/>
        <v>14</v>
      </c>
      <c r="GN67" s="2">
        <f t="shared" si="76"/>
        <v>14</v>
      </c>
      <c r="GO67" s="2">
        <f t="shared" si="77"/>
        <v>0</v>
      </c>
      <c r="GP67" s="2">
        <f t="shared" si="78"/>
        <v>0</v>
      </c>
      <c r="GQ67" s="2"/>
      <c r="GR67" s="2">
        <v>0</v>
      </c>
      <c r="GS67" s="2">
        <v>3</v>
      </c>
      <c r="GT67" s="2">
        <v>0</v>
      </c>
      <c r="GU67" s="2" t="s">
        <v>6</v>
      </c>
      <c r="GV67" s="2">
        <f t="shared" si="79"/>
        <v>0</v>
      </c>
      <c r="GW67" s="2">
        <v>1</v>
      </c>
      <c r="GX67" s="2">
        <f t="shared" si="80"/>
        <v>0</v>
      </c>
      <c r="GY67" s="2"/>
      <c r="GZ67" s="2"/>
      <c r="HA67" s="2">
        <v>0</v>
      </c>
      <c r="HB67" s="2">
        <v>0</v>
      </c>
      <c r="HC67" s="2">
        <f t="shared" si="81"/>
        <v>0</v>
      </c>
      <c r="HD67" s="2"/>
      <c r="HE67" s="2" t="s">
        <v>6</v>
      </c>
      <c r="HF67" s="2" t="s">
        <v>6</v>
      </c>
      <c r="HG67" s="2"/>
      <c r="HH67" s="2"/>
      <c r="HI67" s="2"/>
      <c r="HJ67" s="2"/>
      <c r="HK67" s="2"/>
      <c r="HL67" s="2"/>
      <c r="HM67" s="2" t="s">
        <v>6</v>
      </c>
      <c r="HN67" s="2" t="s">
        <v>6</v>
      </c>
      <c r="HO67" s="2" t="s">
        <v>6</v>
      </c>
      <c r="HP67" s="2" t="s">
        <v>6</v>
      </c>
      <c r="HQ67" s="2" t="s">
        <v>6</v>
      </c>
      <c r="HR67" s="2"/>
      <c r="HS67" s="2"/>
      <c r="HT67" s="2"/>
      <c r="HU67" s="2"/>
      <c r="HV67" s="2"/>
      <c r="HW67" s="2"/>
      <c r="HX67" s="2"/>
      <c r="HY67" s="2"/>
      <c r="HZ67" s="2"/>
      <c r="IA67" s="2"/>
      <c r="IB67" s="2"/>
      <c r="IC67" s="2"/>
      <c r="ID67" s="2"/>
      <c r="IE67" s="2"/>
      <c r="IF67" s="2">
        <v>-1</v>
      </c>
      <c r="IG67" s="2"/>
      <c r="IH67" s="2"/>
      <c r="II67" s="2"/>
      <c r="IJ67" s="2"/>
      <c r="IK67" s="2">
        <v>0</v>
      </c>
      <c r="IL67" s="2"/>
      <c r="IM67" s="2"/>
      <c r="IN67" s="2"/>
      <c r="IO67" s="2"/>
      <c r="IP67" s="2"/>
      <c r="IQ67" s="2"/>
      <c r="IR67" s="2"/>
      <c r="IS67" s="2"/>
      <c r="IT67" s="2"/>
      <c r="IU67" s="2"/>
    </row>
    <row r="68" spans="1:255" x14ac:dyDescent="0.2">
      <c r="A68">
        <v>18</v>
      </c>
      <c r="B68">
        <v>1</v>
      </c>
      <c r="C68">
        <v>87</v>
      </c>
      <c r="E68" t="s">
        <v>95</v>
      </c>
      <c r="F68" t="e">
        <f>'2.Лок.смета.и.Акт'!#REF!</f>
        <v>#REF!</v>
      </c>
      <c r="G68" t="s">
        <v>62</v>
      </c>
      <c r="H68" t="s">
        <v>63</v>
      </c>
      <c r="I68">
        <f>I66*J68</f>
        <v>0.24610800000000002</v>
      </c>
      <c r="J68">
        <v>1.2E-2</v>
      </c>
      <c r="K68">
        <v>1.2E-2</v>
      </c>
      <c r="O68">
        <f t="shared" si="45"/>
        <v>65</v>
      </c>
      <c r="P68">
        <f t="shared" si="46"/>
        <v>65</v>
      </c>
      <c r="Q68">
        <f t="shared" si="47"/>
        <v>0</v>
      </c>
      <c r="R68">
        <f t="shared" si="48"/>
        <v>0</v>
      </c>
      <c r="S68">
        <f t="shared" si="49"/>
        <v>0</v>
      </c>
      <c r="T68">
        <f t="shared" si="50"/>
        <v>0</v>
      </c>
      <c r="U68">
        <f t="shared" si="51"/>
        <v>0</v>
      </c>
      <c r="V68">
        <f t="shared" si="52"/>
        <v>0</v>
      </c>
      <c r="W68">
        <f t="shared" si="53"/>
        <v>0</v>
      </c>
      <c r="X68">
        <f t="shared" si="54"/>
        <v>0</v>
      </c>
      <c r="Y68">
        <f t="shared" si="55"/>
        <v>0</v>
      </c>
      <c r="AA68">
        <v>74242617</v>
      </c>
      <c r="AB68">
        <f t="shared" si="56"/>
        <v>34.72</v>
      </c>
      <c r="AC68">
        <f t="shared" si="85"/>
        <v>34.72</v>
      </c>
      <c r="AD68">
        <f t="shared" si="85"/>
        <v>0</v>
      </c>
      <c r="AE68">
        <f t="shared" si="58"/>
        <v>0</v>
      </c>
      <c r="AF68">
        <f t="shared" si="59"/>
        <v>0</v>
      </c>
      <c r="AG68">
        <f t="shared" si="60"/>
        <v>0</v>
      </c>
      <c r="AH68">
        <f t="shared" si="61"/>
        <v>0</v>
      </c>
      <c r="AI68">
        <f t="shared" si="62"/>
        <v>0</v>
      </c>
      <c r="AJ68">
        <f t="shared" si="63"/>
        <v>0</v>
      </c>
      <c r="AK68">
        <v>34.72</v>
      </c>
      <c r="AL68">
        <v>34.72</v>
      </c>
      <c r="AM68">
        <v>0</v>
      </c>
      <c r="AN68">
        <v>0</v>
      </c>
      <c r="AO68">
        <v>0</v>
      </c>
      <c r="AP68">
        <v>0</v>
      </c>
      <c r="AQ68">
        <v>0</v>
      </c>
      <c r="AR68">
        <v>0</v>
      </c>
      <c r="AS68">
        <v>0</v>
      </c>
      <c r="AT68">
        <v>0</v>
      </c>
      <c r="AU68">
        <v>0</v>
      </c>
      <c r="AV68">
        <v>1</v>
      </c>
      <c r="AW68">
        <v>1</v>
      </c>
      <c r="AZ68">
        <v>1</v>
      </c>
      <c r="BA68">
        <v>1</v>
      </c>
      <c r="BB68">
        <v>1</v>
      </c>
      <c r="BC68">
        <v>7.56</v>
      </c>
      <c r="BD68" t="s">
        <v>6</v>
      </c>
      <c r="BE68" t="s">
        <v>6</v>
      </c>
      <c r="BF68" t="s">
        <v>6</v>
      </c>
      <c r="BG68" t="s">
        <v>6</v>
      </c>
      <c r="BH68">
        <v>3</v>
      </c>
      <c r="BI68">
        <v>0</v>
      </c>
      <c r="BJ68" t="s">
        <v>64</v>
      </c>
      <c r="BM68">
        <v>3101</v>
      </c>
      <c r="BN68">
        <v>0</v>
      </c>
      <c r="BO68" t="s">
        <v>6</v>
      </c>
      <c r="BP68">
        <v>0</v>
      </c>
      <c r="BQ68">
        <v>0</v>
      </c>
      <c r="BR68">
        <v>0</v>
      </c>
      <c r="BS68">
        <v>1</v>
      </c>
      <c r="BT68">
        <v>1</v>
      </c>
      <c r="BU68">
        <v>1</v>
      </c>
      <c r="BV68">
        <v>1</v>
      </c>
      <c r="BW68">
        <v>1</v>
      </c>
      <c r="BX68">
        <v>1</v>
      </c>
      <c r="BY68" t="s">
        <v>6</v>
      </c>
      <c r="BZ68">
        <v>0</v>
      </c>
      <c r="CA68">
        <v>0</v>
      </c>
      <c r="CB68" t="s">
        <v>6</v>
      </c>
      <c r="CE68">
        <v>0</v>
      </c>
      <c r="CF68">
        <v>0</v>
      </c>
      <c r="CG68">
        <v>0</v>
      </c>
      <c r="CM68">
        <v>0</v>
      </c>
      <c r="CN68" t="s">
        <v>6</v>
      </c>
      <c r="CO68">
        <v>0</v>
      </c>
      <c r="CP68">
        <f t="shared" si="64"/>
        <v>65</v>
      </c>
      <c r="CQ68">
        <f t="shared" si="65"/>
        <v>262.48319999999995</v>
      </c>
      <c r="CR68">
        <f t="shared" si="66"/>
        <v>0</v>
      </c>
      <c r="CS68">
        <f t="shared" si="67"/>
        <v>0</v>
      </c>
      <c r="CT68">
        <f t="shared" si="68"/>
        <v>0</v>
      </c>
      <c r="CU68">
        <f t="shared" si="69"/>
        <v>0</v>
      </c>
      <c r="CV68">
        <f t="shared" si="70"/>
        <v>0</v>
      </c>
      <c r="CW68">
        <f t="shared" si="71"/>
        <v>0</v>
      </c>
      <c r="CX68">
        <f t="shared" si="72"/>
        <v>0</v>
      </c>
      <c r="CY68">
        <f>(S68+R68)*(BZ68/100)</f>
        <v>0</v>
      </c>
      <c r="CZ68">
        <f>(S68+R68)*(CA68/100)</f>
        <v>0</v>
      </c>
      <c r="DC68" t="s">
        <v>6</v>
      </c>
      <c r="DD68" t="s">
        <v>6</v>
      </c>
      <c r="DE68" t="s">
        <v>6</v>
      </c>
      <c r="DF68" t="s">
        <v>6</v>
      </c>
      <c r="DG68" t="s">
        <v>6</v>
      </c>
      <c r="DH68" t="s">
        <v>6</v>
      </c>
      <c r="DI68" t="s">
        <v>6</v>
      </c>
      <c r="DJ68" t="s">
        <v>6</v>
      </c>
      <c r="DK68" t="s">
        <v>6</v>
      </c>
      <c r="DL68" t="s">
        <v>6</v>
      </c>
      <c r="DM68" t="s">
        <v>6</v>
      </c>
      <c r="DN68">
        <v>0</v>
      </c>
      <c r="DO68">
        <v>0</v>
      </c>
      <c r="DP68">
        <v>1</v>
      </c>
      <c r="DQ68">
        <v>1</v>
      </c>
      <c r="DU68">
        <v>1005</v>
      </c>
      <c r="DV68" t="s">
        <v>63</v>
      </c>
      <c r="DW68" t="e">
        <f>'2.Лок.смета.и.Акт'!#REF!</f>
        <v>#REF!</v>
      </c>
      <c r="DX68">
        <v>1</v>
      </c>
      <c r="DZ68" t="s">
        <v>6</v>
      </c>
      <c r="EA68" t="s">
        <v>6</v>
      </c>
      <c r="EB68" t="s">
        <v>6</v>
      </c>
      <c r="EC68" t="s">
        <v>6</v>
      </c>
      <c r="EE68">
        <v>0</v>
      </c>
      <c r="EF68">
        <v>0</v>
      </c>
      <c r="EG68" t="s">
        <v>6</v>
      </c>
      <c r="EH68">
        <v>0</v>
      </c>
      <c r="EI68" t="s">
        <v>6</v>
      </c>
      <c r="EJ68">
        <v>0</v>
      </c>
      <c r="EK68">
        <v>3101</v>
      </c>
      <c r="EL68" t="s">
        <v>6</v>
      </c>
      <c r="EM68" t="s">
        <v>6</v>
      </c>
      <c r="EO68" t="s">
        <v>6</v>
      </c>
      <c r="EQ68">
        <v>0</v>
      </c>
      <c r="ER68">
        <v>251.1</v>
      </c>
      <c r="ES68">
        <v>34.72</v>
      </c>
      <c r="ET68">
        <v>0</v>
      </c>
      <c r="EU68">
        <v>0</v>
      </c>
      <c r="EV68">
        <v>0</v>
      </c>
      <c r="EW68">
        <v>0</v>
      </c>
      <c r="EX68">
        <v>0</v>
      </c>
      <c r="EZ68">
        <v>5</v>
      </c>
      <c r="FC68">
        <v>0</v>
      </c>
      <c r="FD68">
        <v>18</v>
      </c>
      <c r="FF68">
        <v>251.1</v>
      </c>
      <c r="FQ68">
        <v>0</v>
      </c>
      <c r="FR68">
        <f t="shared" si="73"/>
        <v>0</v>
      </c>
      <c r="FS68">
        <v>0</v>
      </c>
      <c r="FX68">
        <v>0</v>
      </c>
      <c r="FY68">
        <v>0</v>
      </c>
      <c r="GA68" t="s">
        <v>65</v>
      </c>
      <c r="GD68">
        <v>1</v>
      </c>
      <c r="GF68">
        <v>-1540695423</v>
      </c>
      <c r="GG68">
        <v>2</v>
      </c>
      <c r="GH68">
        <v>3</v>
      </c>
      <c r="GI68">
        <v>5</v>
      </c>
      <c r="GJ68">
        <v>0</v>
      </c>
      <c r="GK68">
        <v>0</v>
      </c>
      <c r="GL68">
        <f t="shared" si="74"/>
        <v>0</v>
      </c>
      <c r="GM68">
        <f t="shared" si="75"/>
        <v>65</v>
      </c>
      <c r="GN68">
        <f t="shared" si="76"/>
        <v>65</v>
      </c>
      <c r="GO68">
        <f t="shared" si="77"/>
        <v>0</v>
      </c>
      <c r="GP68">
        <f t="shared" si="78"/>
        <v>0</v>
      </c>
      <c r="GR68">
        <v>1</v>
      </c>
      <c r="GS68">
        <v>1</v>
      </c>
      <c r="GT68">
        <v>0</v>
      </c>
      <c r="GU68" t="s">
        <v>6</v>
      </c>
      <c r="GV68">
        <f t="shared" si="79"/>
        <v>0</v>
      </c>
      <c r="GW68">
        <v>1</v>
      </c>
      <c r="GX68">
        <f t="shared" si="80"/>
        <v>0</v>
      </c>
      <c r="HA68">
        <v>0</v>
      </c>
      <c r="HB68">
        <v>0</v>
      </c>
      <c r="HC68">
        <f t="shared" si="81"/>
        <v>0</v>
      </c>
      <c r="HE68" t="s">
        <v>39</v>
      </c>
      <c r="HF68" t="s">
        <v>40</v>
      </c>
      <c r="HM68" t="s">
        <v>6</v>
      </c>
      <c r="HN68" t="s">
        <v>6</v>
      </c>
      <c r="HO68" t="s">
        <v>6</v>
      </c>
      <c r="HP68" t="s">
        <v>6</v>
      </c>
      <c r="HQ68" t="s">
        <v>6</v>
      </c>
      <c r="IF68">
        <v>-1</v>
      </c>
      <c r="IK68">
        <v>0</v>
      </c>
    </row>
    <row r="69" spans="1:255" x14ac:dyDescent="0.2">
      <c r="A69" s="2">
        <v>18</v>
      </c>
      <c r="B69" s="2">
        <v>1</v>
      </c>
      <c r="C69" s="2">
        <v>79</v>
      </c>
      <c r="D69" s="2"/>
      <c r="E69" s="2" t="s">
        <v>96</v>
      </c>
      <c r="F69" s="2" t="s">
        <v>84</v>
      </c>
      <c r="G69" s="2" t="s">
        <v>85</v>
      </c>
      <c r="H69" s="2" t="s">
        <v>44</v>
      </c>
      <c r="I69" s="2">
        <f>I65*J69</f>
        <v>0.82651300000000005</v>
      </c>
      <c r="J69" s="207">
        <f>'5.Ведомость_списания'!F50</f>
        <v>4.0300014627724416E-2</v>
      </c>
      <c r="K69" s="2">
        <v>4.0300000000000002E-2</v>
      </c>
      <c r="L69" s="2"/>
      <c r="M69" s="2"/>
      <c r="N69" s="2"/>
      <c r="O69" s="2">
        <f t="shared" si="45"/>
        <v>3570</v>
      </c>
      <c r="P69" s="2">
        <f t="shared" si="46"/>
        <v>3570</v>
      </c>
      <c r="Q69" s="2">
        <f t="shared" si="47"/>
        <v>0</v>
      </c>
      <c r="R69" s="2">
        <f t="shared" si="48"/>
        <v>0</v>
      </c>
      <c r="S69" s="2">
        <f t="shared" si="49"/>
        <v>0</v>
      </c>
      <c r="T69" s="2">
        <f t="shared" si="50"/>
        <v>0</v>
      </c>
      <c r="U69" s="2">
        <f t="shared" si="51"/>
        <v>0</v>
      </c>
      <c r="V69" s="2">
        <f t="shared" si="52"/>
        <v>0</v>
      </c>
      <c r="W69" s="2">
        <f t="shared" si="53"/>
        <v>0</v>
      </c>
      <c r="X69" s="2">
        <f t="shared" si="54"/>
        <v>0</v>
      </c>
      <c r="Y69" s="2">
        <f t="shared" si="55"/>
        <v>0</v>
      </c>
      <c r="Z69" s="2"/>
      <c r="AA69" s="2">
        <v>74242616</v>
      </c>
      <c r="AB69" s="2">
        <f t="shared" si="56"/>
        <v>4319.75</v>
      </c>
      <c r="AC69" s="2">
        <f t="shared" si="85"/>
        <v>4319.75</v>
      </c>
      <c r="AD69" s="2">
        <f t="shared" si="85"/>
        <v>0</v>
      </c>
      <c r="AE69" s="2">
        <f t="shared" si="58"/>
        <v>0</v>
      </c>
      <c r="AF69" s="2">
        <f t="shared" si="59"/>
        <v>0</v>
      </c>
      <c r="AG69" s="2">
        <f t="shared" si="60"/>
        <v>0</v>
      </c>
      <c r="AH69" s="2">
        <f t="shared" si="61"/>
        <v>0</v>
      </c>
      <c r="AI69" s="2">
        <f t="shared" si="62"/>
        <v>0</v>
      </c>
      <c r="AJ69" s="2">
        <f t="shared" si="63"/>
        <v>0</v>
      </c>
      <c r="AK69" s="2">
        <v>4319.75</v>
      </c>
      <c r="AL69" s="111">
        <f>'1.Лок.смета.и.Акт'!F142</f>
        <v>4319.75</v>
      </c>
      <c r="AM69" s="2">
        <v>0</v>
      </c>
      <c r="AN69" s="2">
        <v>0</v>
      </c>
      <c r="AO69" s="2">
        <v>0</v>
      </c>
      <c r="AP69" s="2">
        <v>0</v>
      </c>
      <c r="AQ69" s="2">
        <v>0</v>
      </c>
      <c r="AR69" s="2">
        <v>0</v>
      </c>
      <c r="AS69" s="2">
        <v>0</v>
      </c>
      <c r="AT69" s="2">
        <v>0</v>
      </c>
      <c r="AU69" s="2">
        <v>0</v>
      </c>
      <c r="AV69" s="2">
        <v>1</v>
      </c>
      <c r="AW69" s="2">
        <v>1</v>
      </c>
      <c r="AX69" s="2"/>
      <c r="AY69" s="2"/>
      <c r="AZ69" s="2">
        <v>1</v>
      </c>
      <c r="BA69" s="2">
        <v>1</v>
      </c>
      <c r="BB69" s="2">
        <v>1</v>
      </c>
      <c r="BC69" s="2">
        <v>1</v>
      </c>
      <c r="BD69" s="2" t="s">
        <v>6</v>
      </c>
      <c r="BE69" s="2" t="s">
        <v>6</v>
      </c>
      <c r="BF69" s="2" t="s">
        <v>6</v>
      </c>
      <c r="BG69" s="2" t="s">
        <v>6</v>
      </c>
      <c r="BH69" s="2">
        <v>3</v>
      </c>
      <c r="BI69" s="2">
        <v>0</v>
      </c>
      <c r="BJ69" s="2" t="s">
        <v>86</v>
      </c>
      <c r="BK69" s="2"/>
      <c r="BL69" s="2"/>
      <c r="BM69" s="2">
        <v>3101</v>
      </c>
      <c r="BN69" s="2">
        <v>0</v>
      </c>
      <c r="BO69" s="2" t="s">
        <v>6</v>
      </c>
      <c r="BP69" s="2">
        <v>0</v>
      </c>
      <c r="BQ69" s="2">
        <v>0</v>
      </c>
      <c r="BR69" s="2">
        <v>0</v>
      </c>
      <c r="BS69" s="2">
        <v>1</v>
      </c>
      <c r="BT69" s="2">
        <v>1</v>
      </c>
      <c r="BU69" s="2">
        <v>1</v>
      </c>
      <c r="BV69" s="2">
        <v>1</v>
      </c>
      <c r="BW69" s="2">
        <v>1</v>
      </c>
      <c r="BX69" s="2">
        <v>1</v>
      </c>
      <c r="BY69" s="2" t="s">
        <v>6</v>
      </c>
      <c r="BZ69" s="2">
        <v>0</v>
      </c>
      <c r="CA69" s="2">
        <v>0</v>
      </c>
      <c r="CB69" s="2" t="s">
        <v>6</v>
      </c>
      <c r="CC69" s="2"/>
      <c r="CD69" s="2"/>
      <c r="CE69" s="2">
        <v>0</v>
      </c>
      <c r="CF69" s="2">
        <v>0</v>
      </c>
      <c r="CG69" s="2">
        <v>0</v>
      </c>
      <c r="CH69" s="2"/>
      <c r="CI69" s="2"/>
      <c r="CJ69" s="2"/>
      <c r="CK69" s="2"/>
      <c r="CL69" s="2"/>
      <c r="CM69" s="2">
        <v>0</v>
      </c>
      <c r="CN69" s="2" t="s">
        <v>6</v>
      </c>
      <c r="CO69" s="2">
        <v>0</v>
      </c>
      <c r="CP69" s="2">
        <f t="shared" si="64"/>
        <v>3570</v>
      </c>
      <c r="CQ69" s="2">
        <f t="shared" si="65"/>
        <v>4319.75</v>
      </c>
      <c r="CR69" s="2">
        <f t="shared" si="66"/>
        <v>0</v>
      </c>
      <c r="CS69" s="2">
        <f t="shared" si="67"/>
        <v>0</v>
      </c>
      <c r="CT69" s="2">
        <f t="shared" si="68"/>
        <v>0</v>
      </c>
      <c r="CU69" s="2">
        <f t="shared" si="69"/>
        <v>0</v>
      </c>
      <c r="CV69" s="2">
        <f t="shared" si="70"/>
        <v>0</v>
      </c>
      <c r="CW69" s="2">
        <f t="shared" si="71"/>
        <v>0</v>
      </c>
      <c r="CX69" s="2">
        <f t="shared" si="72"/>
        <v>0</v>
      </c>
      <c r="CY69" s="2">
        <f>0</f>
        <v>0</v>
      </c>
      <c r="CZ69" s="2">
        <f>0</f>
        <v>0</v>
      </c>
      <c r="DA69" s="2"/>
      <c r="DB69" s="2"/>
      <c r="DC69" s="2" t="s">
        <v>6</v>
      </c>
      <c r="DD69" s="2" t="s">
        <v>6</v>
      </c>
      <c r="DE69" s="2" t="s">
        <v>6</v>
      </c>
      <c r="DF69" s="2" t="s">
        <v>6</v>
      </c>
      <c r="DG69" s="2" t="s">
        <v>6</v>
      </c>
      <c r="DH69" s="2" t="s">
        <v>6</v>
      </c>
      <c r="DI69" s="2" t="s">
        <v>6</v>
      </c>
      <c r="DJ69" s="2" t="s">
        <v>6</v>
      </c>
      <c r="DK69" s="2" t="s">
        <v>6</v>
      </c>
      <c r="DL69" s="2" t="s">
        <v>6</v>
      </c>
      <c r="DM69" s="2" t="s">
        <v>6</v>
      </c>
      <c r="DN69" s="2">
        <v>0</v>
      </c>
      <c r="DO69" s="2">
        <v>0</v>
      </c>
      <c r="DP69" s="2">
        <v>1</v>
      </c>
      <c r="DQ69" s="2">
        <v>1</v>
      </c>
      <c r="DR69" s="2"/>
      <c r="DS69" s="2"/>
      <c r="DT69" s="2"/>
      <c r="DU69" s="2">
        <v>1009</v>
      </c>
      <c r="DV69" s="2" t="s">
        <v>44</v>
      </c>
      <c r="DW69" s="2" t="s">
        <v>44</v>
      </c>
      <c r="DX69" s="2">
        <v>1000</v>
      </c>
      <c r="DY69" s="2"/>
      <c r="DZ69" s="2" t="s">
        <v>6</v>
      </c>
      <c r="EA69" s="2" t="s">
        <v>6</v>
      </c>
      <c r="EB69" s="2" t="s">
        <v>6</v>
      </c>
      <c r="EC69" s="2" t="s">
        <v>6</v>
      </c>
      <c r="ED69" s="2"/>
      <c r="EE69" s="2">
        <v>0</v>
      </c>
      <c r="EF69" s="2">
        <v>0</v>
      </c>
      <c r="EG69" s="2" t="s">
        <v>6</v>
      </c>
      <c r="EH69" s="2">
        <v>0</v>
      </c>
      <c r="EI69" s="2" t="s">
        <v>6</v>
      </c>
      <c r="EJ69" s="2">
        <v>0</v>
      </c>
      <c r="EK69" s="2">
        <v>3101</v>
      </c>
      <c r="EL69" s="2" t="s">
        <v>6</v>
      </c>
      <c r="EM69" s="2" t="s">
        <v>6</v>
      </c>
      <c r="EN69" s="2"/>
      <c r="EO69" s="2" t="s">
        <v>6</v>
      </c>
      <c r="EP69" s="2"/>
      <c r="EQ69" s="2">
        <v>0</v>
      </c>
      <c r="ER69" s="2">
        <v>4319.75</v>
      </c>
      <c r="ES69" s="111">
        <f>'1.Лок.смета.и.Акт'!F142</f>
        <v>4319.75</v>
      </c>
      <c r="ET69" s="2">
        <v>0</v>
      </c>
      <c r="EU69" s="2">
        <v>0</v>
      </c>
      <c r="EV69" s="2">
        <v>0</v>
      </c>
      <c r="EW69" s="2">
        <v>0</v>
      </c>
      <c r="EX69" s="2">
        <v>0</v>
      </c>
      <c r="EY69" s="2"/>
      <c r="EZ69" s="2"/>
      <c r="FA69" s="2"/>
      <c r="FB69" s="2"/>
      <c r="FC69" s="2"/>
      <c r="FD69" s="2"/>
      <c r="FE69" s="2"/>
      <c r="FF69" s="2"/>
      <c r="FG69" s="2"/>
      <c r="FH69" s="2"/>
      <c r="FI69" s="2"/>
      <c r="FJ69" s="2"/>
      <c r="FK69" s="2"/>
      <c r="FL69" s="2"/>
      <c r="FM69" s="2"/>
      <c r="FN69" s="2"/>
      <c r="FO69" s="2"/>
      <c r="FP69" s="2"/>
      <c r="FQ69" s="2">
        <v>0</v>
      </c>
      <c r="FR69" s="2">
        <f t="shared" si="73"/>
        <v>0</v>
      </c>
      <c r="FS69" s="2">
        <v>0</v>
      </c>
      <c r="FT69" s="2"/>
      <c r="FU69" s="2"/>
      <c r="FV69" s="2"/>
      <c r="FW69" s="2"/>
      <c r="FX69" s="2">
        <v>0</v>
      </c>
      <c r="FY69" s="2">
        <v>0</v>
      </c>
      <c r="FZ69" s="2"/>
      <c r="GA69" s="2" t="s">
        <v>6</v>
      </c>
      <c r="GB69" s="2"/>
      <c r="GC69" s="2"/>
      <c r="GD69" s="2">
        <v>1</v>
      </c>
      <c r="GE69" s="2"/>
      <c r="GF69" s="2">
        <v>2058864970</v>
      </c>
      <c r="GG69" s="2">
        <v>2</v>
      </c>
      <c r="GH69" s="2">
        <v>1</v>
      </c>
      <c r="GI69" s="2">
        <v>-2</v>
      </c>
      <c r="GJ69" s="2">
        <v>0</v>
      </c>
      <c r="GK69" s="2">
        <v>0</v>
      </c>
      <c r="GL69" s="2">
        <f t="shared" si="74"/>
        <v>0</v>
      </c>
      <c r="GM69" s="2">
        <f t="shared" si="75"/>
        <v>3570</v>
      </c>
      <c r="GN69" s="2">
        <f t="shared" si="76"/>
        <v>3570</v>
      </c>
      <c r="GO69" s="2">
        <f t="shared" si="77"/>
        <v>0</v>
      </c>
      <c r="GP69" s="2">
        <f t="shared" si="78"/>
        <v>0</v>
      </c>
      <c r="GQ69" s="2"/>
      <c r="GR69" s="2">
        <v>0</v>
      </c>
      <c r="GS69" s="2">
        <v>3</v>
      </c>
      <c r="GT69" s="2">
        <v>0</v>
      </c>
      <c r="GU69" s="2" t="s">
        <v>6</v>
      </c>
      <c r="GV69" s="2">
        <f t="shared" si="79"/>
        <v>0</v>
      </c>
      <c r="GW69" s="2">
        <v>1</v>
      </c>
      <c r="GX69" s="2">
        <f t="shared" si="80"/>
        <v>0</v>
      </c>
      <c r="GY69" s="2"/>
      <c r="GZ69" s="2"/>
      <c r="HA69" s="2">
        <v>0</v>
      </c>
      <c r="HB69" s="2">
        <v>0</v>
      </c>
      <c r="HC69" s="2">
        <f t="shared" si="81"/>
        <v>0</v>
      </c>
      <c r="HD69" s="2"/>
      <c r="HE69" s="2" t="s">
        <v>6</v>
      </c>
      <c r="HF69" s="2" t="s">
        <v>6</v>
      </c>
      <c r="HG69" s="2"/>
      <c r="HH69" s="2"/>
      <c r="HI69" s="2"/>
      <c r="HJ69" s="2"/>
      <c r="HK69" s="2"/>
      <c r="HL69" s="2"/>
      <c r="HM69" s="2" t="s">
        <v>6</v>
      </c>
      <c r="HN69" s="2" t="s">
        <v>6</v>
      </c>
      <c r="HO69" s="2" t="s">
        <v>6</v>
      </c>
      <c r="HP69" s="2" t="s">
        <v>6</v>
      </c>
      <c r="HQ69" s="2" t="s">
        <v>6</v>
      </c>
      <c r="HR69" s="2"/>
      <c r="HS69" s="2"/>
      <c r="HT69" s="2"/>
      <c r="HU69" s="2"/>
      <c r="HV69" s="2"/>
      <c r="HW69" s="2"/>
      <c r="HX69" s="2"/>
      <c r="HY69" s="2"/>
      <c r="HZ69" s="2"/>
      <c r="IA69" s="2"/>
      <c r="IB69" s="2"/>
      <c r="IC69" s="2"/>
      <c r="ID69" s="2"/>
      <c r="IE69" s="2"/>
      <c r="IF69" s="2">
        <v>-1</v>
      </c>
      <c r="IG69" s="2"/>
      <c r="IH69" s="2"/>
      <c r="II69" s="2"/>
      <c r="IJ69" s="2"/>
      <c r="IK69" s="2">
        <v>0</v>
      </c>
      <c r="IL69" s="2"/>
      <c r="IM69" s="2"/>
      <c r="IN69" s="2"/>
      <c r="IO69" s="2"/>
      <c r="IP69" s="2"/>
      <c r="IQ69" s="2"/>
      <c r="IR69" s="2"/>
      <c r="IS69" s="2"/>
      <c r="IT69" s="2"/>
      <c r="IU69" s="2"/>
    </row>
    <row r="70" spans="1:255" x14ac:dyDescent="0.2">
      <c r="A70">
        <v>18</v>
      </c>
      <c r="B70">
        <v>1</v>
      </c>
      <c r="C70">
        <v>88</v>
      </c>
      <c r="E70" t="s">
        <v>96</v>
      </c>
      <c r="F70" t="e">
        <f>'2.Лок.смета.и.Акт'!#REF!</f>
        <v>#REF!</v>
      </c>
      <c r="G70" t="s">
        <v>85</v>
      </c>
      <c r="H70" t="s">
        <v>44</v>
      </c>
      <c r="I70">
        <f>I66*J70</f>
        <v>0.82651300000000005</v>
      </c>
      <c r="J70">
        <v>4.0300014627724416E-2</v>
      </c>
      <c r="K70">
        <v>4.0300000000000002E-2</v>
      </c>
      <c r="O70">
        <f t="shared" si="45"/>
        <v>14699</v>
      </c>
      <c r="P70">
        <f t="shared" si="46"/>
        <v>14699</v>
      </c>
      <c r="Q70">
        <f t="shared" si="47"/>
        <v>0</v>
      </c>
      <c r="R70">
        <f t="shared" si="48"/>
        <v>0</v>
      </c>
      <c r="S70">
        <f t="shared" si="49"/>
        <v>0</v>
      </c>
      <c r="T70">
        <f t="shared" si="50"/>
        <v>0</v>
      </c>
      <c r="U70">
        <f t="shared" si="51"/>
        <v>0</v>
      </c>
      <c r="V70">
        <f t="shared" si="52"/>
        <v>0</v>
      </c>
      <c r="W70">
        <f t="shared" si="53"/>
        <v>0</v>
      </c>
      <c r="X70">
        <f t="shared" si="54"/>
        <v>0</v>
      </c>
      <c r="Y70">
        <f t="shared" si="55"/>
        <v>0</v>
      </c>
      <c r="AA70">
        <v>74242617</v>
      </c>
      <c r="AB70">
        <f t="shared" si="56"/>
        <v>2352.38</v>
      </c>
      <c r="AC70">
        <f t="shared" si="85"/>
        <v>2352.38</v>
      </c>
      <c r="AD70">
        <f t="shared" si="85"/>
        <v>0</v>
      </c>
      <c r="AE70">
        <f t="shared" si="58"/>
        <v>0</v>
      </c>
      <c r="AF70">
        <f t="shared" si="59"/>
        <v>0</v>
      </c>
      <c r="AG70">
        <f t="shared" si="60"/>
        <v>0</v>
      </c>
      <c r="AH70">
        <f t="shared" si="61"/>
        <v>0</v>
      </c>
      <c r="AI70">
        <f t="shared" si="62"/>
        <v>0</v>
      </c>
      <c r="AJ70">
        <f t="shared" si="63"/>
        <v>0</v>
      </c>
      <c r="AK70">
        <v>2352.38</v>
      </c>
      <c r="AL70">
        <v>2352.38</v>
      </c>
      <c r="AM70">
        <v>0</v>
      </c>
      <c r="AN70">
        <v>0</v>
      </c>
      <c r="AO70">
        <v>0</v>
      </c>
      <c r="AP70">
        <v>0</v>
      </c>
      <c r="AQ70">
        <v>0</v>
      </c>
      <c r="AR70">
        <v>0</v>
      </c>
      <c r="AS70">
        <v>0</v>
      </c>
      <c r="AT70">
        <v>0</v>
      </c>
      <c r="AU70">
        <v>0</v>
      </c>
      <c r="AV70">
        <v>1</v>
      </c>
      <c r="AW70">
        <v>1</v>
      </c>
      <c r="AZ70">
        <v>1</v>
      </c>
      <c r="BA70">
        <v>1</v>
      </c>
      <c r="BB70">
        <v>1</v>
      </c>
      <c r="BC70">
        <v>7.56</v>
      </c>
      <c r="BD70" t="s">
        <v>6</v>
      </c>
      <c r="BE70" t="s">
        <v>6</v>
      </c>
      <c r="BF70" t="s">
        <v>6</v>
      </c>
      <c r="BG70" t="s">
        <v>6</v>
      </c>
      <c r="BH70">
        <v>3</v>
      </c>
      <c r="BI70">
        <v>0</v>
      </c>
      <c r="BJ70" t="s">
        <v>86</v>
      </c>
      <c r="BM70">
        <v>3101</v>
      </c>
      <c r="BN70">
        <v>0</v>
      </c>
      <c r="BO70" t="s">
        <v>6</v>
      </c>
      <c r="BP70">
        <v>0</v>
      </c>
      <c r="BQ70">
        <v>0</v>
      </c>
      <c r="BR70">
        <v>0</v>
      </c>
      <c r="BS70">
        <v>1</v>
      </c>
      <c r="BT70">
        <v>1</v>
      </c>
      <c r="BU70">
        <v>1</v>
      </c>
      <c r="BV70">
        <v>1</v>
      </c>
      <c r="BW70">
        <v>1</v>
      </c>
      <c r="BX70">
        <v>1</v>
      </c>
      <c r="BY70" t="s">
        <v>6</v>
      </c>
      <c r="BZ70">
        <v>0</v>
      </c>
      <c r="CA70">
        <v>0</v>
      </c>
      <c r="CB70" t="s">
        <v>6</v>
      </c>
      <c r="CE70">
        <v>0</v>
      </c>
      <c r="CF70">
        <v>0</v>
      </c>
      <c r="CG70">
        <v>0</v>
      </c>
      <c r="CM70">
        <v>0</v>
      </c>
      <c r="CN70" t="s">
        <v>6</v>
      </c>
      <c r="CO70">
        <v>0</v>
      </c>
      <c r="CP70">
        <f t="shared" si="64"/>
        <v>14699</v>
      </c>
      <c r="CQ70">
        <f t="shared" si="65"/>
        <v>17783.9928</v>
      </c>
      <c r="CR70">
        <f t="shared" si="66"/>
        <v>0</v>
      </c>
      <c r="CS70">
        <f t="shared" si="67"/>
        <v>0</v>
      </c>
      <c r="CT70">
        <f t="shared" si="68"/>
        <v>0</v>
      </c>
      <c r="CU70">
        <f t="shared" si="69"/>
        <v>0</v>
      </c>
      <c r="CV70">
        <f t="shared" si="70"/>
        <v>0</v>
      </c>
      <c r="CW70">
        <f t="shared" si="71"/>
        <v>0</v>
      </c>
      <c r="CX70">
        <f t="shared" si="72"/>
        <v>0</v>
      </c>
      <c r="CY70">
        <f>(S70+R70)*(BZ70/100)</f>
        <v>0</v>
      </c>
      <c r="CZ70">
        <f>(S70+R70)*(CA70/100)</f>
        <v>0</v>
      </c>
      <c r="DC70" t="s">
        <v>6</v>
      </c>
      <c r="DD70" t="s">
        <v>6</v>
      </c>
      <c r="DE70" t="s">
        <v>6</v>
      </c>
      <c r="DF70" t="s">
        <v>6</v>
      </c>
      <c r="DG70" t="s">
        <v>6</v>
      </c>
      <c r="DH70" t="s">
        <v>6</v>
      </c>
      <c r="DI70" t="s">
        <v>6</v>
      </c>
      <c r="DJ70" t="s">
        <v>6</v>
      </c>
      <c r="DK70" t="s">
        <v>6</v>
      </c>
      <c r="DL70" t="s">
        <v>6</v>
      </c>
      <c r="DM70" t="s">
        <v>6</v>
      </c>
      <c r="DN70">
        <v>0</v>
      </c>
      <c r="DO70">
        <v>0</v>
      </c>
      <c r="DP70">
        <v>1</v>
      </c>
      <c r="DQ70">
        <v>1</v>
      </c>
      <c r="DU70">
        <v>1009</v>
      </c>
      <c r="DV70" t="s">
        <v>44</v>
      </c>
      <c r="DW70" t="e">
        <f>'2.Лок.смета.и.Акт'!#REF!</f>
        <v>#REF!</v>
      </c>
      <c r="DX70">
        <v>1000</v>
      </c>
      <c r="DZ70" t="s">
        <v>6</v>
      </c>
      <c r="EA70" t="s">
        <v>6</v>
      </c>
      <c r="EB70" t="s">
        <v>6</v>
      </c>
      <c r="EC70" t="s">
        <v>6</v>
      </c>
      <c r="EE70">
        <v>0</v>
      </c>
      <c r="EF70">
        <v>0</v>
      </c>
      <c r="EG70" t="s">
        <v>6</v>
      </c>
      <c r="EH70">
        <v>0</v>
      </c>
      <c r="EI70" t="s">
        <v>6</v>
      </c>
      <c r="EJ70">
        <v>0</v>
      </c>
      <c r="EK70">
        <v>3101</v>
      </c>
      <c r="EL70" t="s">
        <v>6</v>
      </c>
      <c r="EM70" t="s">
        <v>6</v>
      </c>
      <c r="EO70" t="s">
        <v>6</v>
      </c>
      <c r="EQ70">
        <v>0</v>
      </c>
      <c r="ER70">
        <v>17010</v>
      </c>
      <c r="ES70">
        <v>2352.38</v>
      </c>
      <c r="ET70">
        <v>0</v>
      </c>
      <c r="EU70">
        <v>0</v>
      </c>
      <c r="EV70">
        <v>0</v>
      </c>
      <c r="EW70">
        <v>0</v>
      </c>
      <c r="EX70">
        <v>0</v>
      </c>
      <c r="EZ70">
        <v>5</v>
      </c>
      <c r="FC70">
        <v>0</v>
      </c>
      <c r="FD70">
        <v>18</v>
      </c>
      <c r="FF70">
        <v>17010</v>
      </c>
      <c r="FQ70">
        <v>0</v>
      </c>
      <c r="FR70">
        <f t="shared" si="73"/>
        <v>0</v>
      </c>
      <c r="FS70">
        <v>0</v>
      </c>
      <c r="FX70">
        <v>0</v>
      </c>
      <c r="FY70">
        <v>0</v>
      </c>
      <c r="GA70" t="s">
        <v>87</v>
      </c>
      <c r="GD70">
        <v>1</v>
      </c>
      <c r="GF70">
        <v>2058864970</v>
      </c>
      <c r="GG70">
        <v>2</v>
      </c>
      <c r="GH70">
        <v>3</v>
      </c>
      <c r="GI70">
        <v>5</v>
      </c>
      <c r="GJ70">
        <v>0</v>
      </c>
      <c r="GK70">
        <v>0</v>
      </c>
      <c r="GL70">
        <f t="shared" si="74"/>
        <v>0</v>
      </c>
      <c r="GM70">
        <f t="shared" si="75"/>
        <v>14699</v>
      </c>
      <c r="GN70">
        <f t="shared" si="76"/>
        <v>14699</v>
      </c>
      <c r="GO70">
        <f t="shared" si="77"/>
        <v>0</v>
      </c>
      <c r="GP70">
        <f t="shared" si="78"/>
        <v>0</v>
      </c>
      <c r="GR70">
        <v>1</v>
      </c>
      <c r="GS70">
        <v>1</v>
      </c>
      <c r="GT70">
        <v>0</v>
      </c>
      <c r="GU70" t="s">
        <v>6</v>
      </c>
      <c r="GV70">
        <f t="shared" si="79"/>
        <v>0</v>
      </c>
      <c r="GW70">
        <v>1</v>
      </c>
      <c r="GX70">
        <f t="shared" si="80"/>
        <v>0</v>
      </c>
      <c r="HA70">
        <v>0</v>
      </c>
      <c r="HB70">
        <v>0</v>
      </c>
      <c r="HC70">
        <f t="shared" si="81"/>
        <v>0</v>
      </c>
      <c r="HE70" t="s">
        <v>39</v>
      </c>
      <c r="HF70" t="s">
        <v>40</v>
      </c>
      <c r="HM70" t="s">
        <v>6</v>
      </c>
      <c r="HN70" t="s">
        <v>6</v>
      </c>
      <c r="HO70" t="s">
        <v>6</v>
      </c>
      <c r="HP70" t="s">
        <v>6</v>
      </c>
      <c r="HQ70" t="s">
        <v>6</v>
      </c>
      <c r="IF70">
        <v>-1</v>
      </c>
      <c r="IK70">
        <v>0</v>
      </c>
    </row>
    <row r="71" spans="1:255" x14ac:dyDescent="0.2">
      <c r="A71" s="2">
        <v>18</v>
      </c>
      <c r="B71" s="2">
        <v>1</v>
      </c>
      <c r="C71" s="2">
        <v>80</v>
      </c>
      <c r="D71" s="2"/>
      <c r="E71" s="2" t="s">
        <v>97</v>
      </c>
      <c r="F71" s="2" t="s">
        <v>31</v>
      </c>
      <c r="G71" s="2" t="s">
        <v>32</v>
      </c>
      <c r="H71" s="2" t="s">
        <v>33</v>
      </c>
      <c r="I71" s="2">
        <f>I65*J71</f>
        <v>2.0508999999999999</v>
      </c>
      <c r="J71" s="207">
        <f>'5.Ведомость_списания'!F51</f>
        <v>9.9999999999999992E-2</v>
      </c>
      <c r="K71" s="2">
        <v>0.1</v>
      </c>
      <c r="L71" s="2"/>
      <c r="M71" s="2"/>
      <c r="N71" s="2"/>
      <c r="O71" s="2">
        <f t="shared" si="45"/>
        <v>4</v>
      </c>
      <c r="P71" s="2">
        <f t="shared" si="46"/>
        <v>4</v>
      </c>
      <c r="Q71" s="2">
        <f t="shared" si="47"/>
        <v>0</v>
      </c>
      <c r="R71" s="2">
        <f t="shared" si="48"/>
        <v>0</v>
      </c>
      <c r="S71" s="2">
        <f t="shared" si="49"/>
        <v>0</v>
      </c>
      <c r="T71" s="2">
        <f t="shared" si="50"/>
        <v>0</v>
      </c>
      <c r="U71" s="2">
        <f t="shared" si="51"/>
        <v>0</v>
      </c>
      <c r="V71" s="2">
        <f t="shared" si="52"/>
        <v>0</v>
      </c>
      <c r="W71" s="2">
        <f t="shared" si="53"/>
        <v>0</v>
      </c>
      <c r="X71" s="2">
        <f t="shared" si="54"/>
        <v>0</v>
      </c>
      <c r="Y71" s="2">
        <f t="shared" si="55"/>
        <v>0</v>
      </c>
      <c r="Z71" s="2"/>
      <c r="AA71" s="2">
        <v>74242616</v>
      </c>
      <c r="AB71" s="2">
        <f t="shared" si="56"/>
        <v>1.82</v>
      </c>
      <c r="AC71" s="2">
        <f t="shared" si="85"/>
        <v>1.82</v>
      </c>
      <c r="AD71" s="2">
        <f t="shared" si="85"/>
        <v>0</v>
      </c>
      <c r="AE71" s="2">
        <f t="shared" si="58"/>
        <v>0</v>
      </c>
      <c r="AF71" s="2">
        <f t="shared" si="59"/>
        <v>0</v>
      </c>
      <c r="AG71" s="2">
        <f t="shared" si="60"/>
        <v>0</v>
      </c>
      <c r="AH71" s="2">
        <f t="shared" si="61"/>
        <v>0</v>
      </c>
      <c r="AI71" s="2">
        <f t="shared" si="62"/>
        <v>0</v>
      </c>
      <c r="AJ71" s="2">
        <f t="shared" si="63"/>
        <v>0</v>
      </c>
      <c r="AK71" s="2">
        <v>1.82</v>
      </c>
      <c r="AL71" s="111">
        <f>'1.Лок.смета.и.Акт'!F144</f>
        <v>1.82</v>
      </c>
      <c r="AM71" s="2">
        <v>0</v>
      </c>
      <c r="AN71" s="2">
        <v>0</v>
      </c>
      <c r="AO71" s="2">
        <v>0</v>
      </c>
      <c r="AP71" s="2">
        <v>0</v>
      </c>
      <c r="AQ71" s="2">
        <v>0</v>
      </c>
      <c r="AR71" s="2">
        <v>0</v>
      </c>
      <c r="AS71" s="2">
        <v>0</v>
      </c>
      <c r="AT71" s="2">
        <v>0</v>
      </c>
      <c r="AU71" s="2">
        <v>0</v>
      </c>
      <c r="AV71" s="2">
        <v>1</v>
      </c>
      <c r="AW71" s="2">
        <v>1</v>
      </c>
      <c r="AX71" s="2"/>
      <c r="AY71" s="2"/>
      <c r="AZ71" s="2">
        <v>1</v>
      </c>
      <c r="BA71" s="2">
        <v>1</v>
      </c>
      <c r="BB71" s="2">
        <v>1</v>
      </c>
      <c r="BC71" s="2">
        <v>1</v>
      </c>
      <c r="BD71" s="2" t="s">
        <v>6</v>
      </c>
      <c r="BE71" s="2" t="s">
        <v>6</v>
      </c>
      <c r="BF71" s="2" t="s">
        <v>6</v>
      </c>
      <c r="BG71" s="2" t="s">
        <v>6</v>
      </c>
      <c r="BH71" s="2">
        <v>3</v>
      </c>
      <c r="BI71" s="2">
        <v>0</v>
      </c>
      <c r="BJ71" s="2" t="s">
        <v>34</v>
      </c>
      <c r="BK71" s="2"/>
      <c r="BL71" s="2"/>
      <c r="BM71" s="2">
        <v>3101</v>
      </c>
      <c r="BN71" s="2">
        <v>0</v>
      </c>
      <c r="BO71" s="2" t="s">
        <v>6</v>
      </c>
      <c r="BP71" s="2">
        <v>0</v>
      </c>
      <c r="BQ71" s="2">
        <v>0</v>
      </c>
      <c r="BR71" s="2">
        <v>0</v>
      </c>
      <c r="BS71" s="2">
        <v>1</v>
      </c>
      <c r="BT71" s="2">
        <v>1</v>
      </c>
      <c r="BU71" s="2">
        <v>1</v>
      </c>
      <c r="BV71" s="2">
        <v>1</v>
      </c>
      <c r="BW71" s="2">
        <v>1</v>
      </c>
      <c r="BX71" s="2">
        <v>1</v>
      </c>
      <c r="BY71" s="2" t="s">
        <v>6</v>
      </c>
      <c r="BZ71" s="2">
        <v>0</v>
      </c>
      <c r="CA71" s="2">
        <v>0</v>
      </c>
      <c r="CB71" s="2" t="s">
        <v>6</v>
      </c>
      <c r="CC71" s="2"/>
      <c r="CD71" s="2"/>
      <c r="CE71" s="2">
        <v>0</v>
      </c>
      <c r="CF71" s="2">
        <v>0</v>
      </c>
      <c r="CG71" s="2">
        <v>0</v>
      </c>
      <c r="CH71" s="2"/>
      <c r="CI71" s="2"/>
      <c r="CJ71" s="2"/>
      <c r="CK71" s="2"/>
      <c r="CL71" s="2"/>
      <c r="CM71" s="2">
        <v>0</v>
      </c>
      <c r="CN71" s="2" t="s">
        <v>6</v>
      </c>
      <c r="CO71" s="2">
        <v>0</v>
      </c>
      <c r="CP71" s="2">
        <f t="shared" si="64"/>
        <v>4</v>
      </c>
      <c r="CQ71" s="2">
        <f t="shared" si="65"/>
        <v>1.82</v>
      </c>
      <c r="CR71" s="2">
        <f t="shared" si="66"/>
        <v>0</v>
      </c>
      <c r="CS71" s="2">
        <f t="shared" si="67"/>
        <v>0</v>
      </c>
      <c r="CT71" s="2">
        <f t="shared" si="68"/>
        <v>0</v>
      </c>
      <c r="CU71" s="2">
        <f t="shared" si="69"/>
        <v>0</v>
      </c>
      <c r="CV71" s="2">
        <f t="shared" si="70"/>
        <v>0</v>
      </c>
      <c r="CW71" s="2">
        <f t="shared" si="71"/>
        <v>0</v>
      </c>
      <c r="CX71" s="2">
        <f t="shared" si="72"/>
        <v>0</v>
      </c>
      <c r="CY71" s="2">
        <f>0</f>
        <v>0</v>
      </c>
      <c r="CZ71" s="2">
        <f>0</f>
        <v>0</v>
      </c>
      <c r="DA71" s="2"/>
      <c r="DB71" s="2"/>
      <c r="DC71" s="2" t="s">
        <v>6</v>
      </c>
      <c r="DD71" s="2" t="s">
        <v>6</v>
      </c>
      <c r="DE71" s="2" t="s">
        <v>6</v>
      </c>
      <c r="DF71" s="2" t="s">
        <v>6</v>
      </c>
      <c r="DG71" s="2" t="s">
        <v>6</v>
      </c>
      <c r="DH71" s="2" t="s">
        <v>6</v>
      </c>
      <c r="DI71" s="2" t="s">
        <v>6</v>
      </c>
      <c r="DJ71" s="2" t="s">
        <v>6</v>
      </c>
      <c r="DK71" s="2" t="s">
        <v>6</v>
      </c>
      <c r="DL71" s="2" t="s">
        <v>6</v>
      </c>
      <c r="DM71" s="2" t="s">
        <v>6</v>
      </c>
      <c r="DN71" s="2">
        <v>0</v>
      </c>
      <c r="DO71" s="2">
        <v>0</v>
      </c>
      <c r="DP71" s="2">
        <v>1</v>
      </c>
      <c r="DQ71" s="2">
        <v>1</v>
      </c>
      <c r="DR71" s="2"/>
      <c r="DS71" s="2"/>
      <c r="DT71" s="2"/>
      <c r="DU71" s="2">
        <v>1009</v>
      </c>
      <c r="DV71" s="2" t="s">
        <v>33</v>
      </c>
      <c r="DW71" s="2" t="s">
        <v>33</v>
      </c>
      <c r="DX71" s="2">
        <v>1</v>
      </c>
      <c r="DY71" s="2"/>
      <c r="DZ71" s="2" t="s">
        <v>6</v>
      </c>
      <c r="EA71" s="2" t="s">
        <v>6</v>
      </c>
      <c r="EB71" s="2" t="s">
        <v>6</v>
      </c>
      <c r="EC71" s="2" t="s">
        <v>6</v>
      </c>
      <c r="ED71" s="2"/>
      <c r="EE71" s="2">
        <v>0</v>
      </c>
      <c r="EF71" s="2">
        <v>0</v>
      </c>
      <c r="EG71" s="2" t="s">
        <v>6</v>
      </c>
      <c r="EH71" s="2">
        <v>0</v>
      </c>
      <c r="EI71" s="2" t="s">
        <v>6</v>
      </c>
      <c r="EJ71" s="2">
        <v>0</v>
      </c>
      <c r="EK71" s="2">
        <v>3101</v>
      </c>
      <c r="EL71" s="2" t="s">
        <v>6</v>
      </c>
      <c r="EM71" s="2" t="s">
        <v>6</v>
      </c>
      <c r="EN71" s="2"/>
      <c r="EO71" s="2" t="s">
        <v>6</v>
      </c>
      <c r="EP71" s="2"/>
      <c r="EQ71" s="2">
        <v>0</v>
      </c>
      <c r="ER71" s="2">
        <v>1.82</v>
      </c>
      <c r="ES71" s="111">
        <f>'1.Лок.смета.и.Акт'!F144</f>
        <v>1.82</v>
      </c>
      <c r="ET71" s="2">
        <v>0</v>
      </c>
      <c r="EU71" s="2">
        <v>0</v>
      </c>
      <c r="EV71" s="2">
        <v>0</v>
      </c>
      <c r="EW71" s="2">
        <v>0</v>
      </c>
      <c r="EX71" s="2">
        <v>0</v>
      </c>
      <c r="EY71" s="2"/>
      <c r="EZ71" s="2"/>
      <c r="FA71" s="2"/>
      <c r="FB71" s="2"/>
      <c r="FC71" s="2"/>
      <c r="FD71" s="2"/>
      <c r="FE71" s="2"/>
      <c r="FF71" s="2"/>
      <c r="FG71" s="2"/>
      <c r="FH71" s="2"/>
      <c r="FI71" s="2"/>
      <c r="FJ71" s="2"/>
      <c r="FK71" s="2"/>
      <c r="FL71" s="2"/>
      <c r="FM71" s="2"/>
      <c r="FN71" s="2"/>
      <c r="FO71" s="2"/>
      <c r="FP71" s="2"/>
      <c r="FQ71" s="2">
        <v>0</v>
      </c>
      <c r="FR71" s="2">
        <f t="shared" si="73"/>
        <v>0</v>
      </c>
      <c r="FS71" s="2">
        <v>0</v>
      </c>
      <c r="FT71" s="2"/>
      <c r="FU71" s="2"/>
      <c r="FV71" s="2"/>
      <c r="FW71" s="2"/>
      <c r="FX71" s="2">
        <v>0</v>
      </c>
      <c r="FY71" s="2">
        <v>0</v>
      </c>
      <c r="FZ71" s="2"/>
      <c r="GA71" s="2" t="s">
        <v>6</v>
      </c>
      <c r="GB71" s="2"/>
      <c r="GC71" s="2"/>
      <c r="GD71" s="2">
        <v>1</v>
      </c>
      <c r="GE71" s="2"/>
      <c r="GF71" s="2">
        <v>-386994921</v>
      </c>
      <c r="GG71" s="2">
        <v>2</v>
      </c>
      <c r="GH71" s="2">
        <v>0</v>
      </c>
      <c r="GI71" s="2">
        <v>-2</v>
      </c>
      <c r="GJ71" s="2">
        <v>0</v>
      </c>
      <c r="GK71" s="2">
        <v>0</v>
      </c>
      <c r="GL71" s="2">
        <f t="shared" si="74"/>
        <v>0</v>
      </c>
      <c r="GM71" s="2">
        <f t="shared" si="75"/>
        <v>4</v>
      </c>
      <c r="GN71" s="2">
        <f t="shared" si="76"/>
        <v>4</v>
      </c>
      <c r="GO71" s="2">
        <f t="shared" si="77"/>
        <v>0</v>
      </c>
      <c r="GP71" s="2">
        <f t="shared" si="78"/>
        <v>0</v>
      </c>
      <c r="GQ71" s="2"/>
      <c r="GR71" s="2">
        <v>0</v>
      </c>
      <c r="GS71" s="2">
        <v>3</v>
      </c>
      <c r="GT71" s="2">
        <v>0</v>
      </c>
      <c r="GU71" s="2" t="s">
        <v>6</v>
      </c>
      <c r="GV71" s="2">
        <f t="shared" si="79"/>
        <v>0</v>
      </c>
      <c r="GW71" s="2">
        <v>1</v>
      </c>
      <c r="GX71" s="2">
        <f t="shared" si="80"/>
        <v>0</v>
      </c>
      <c r="GY71" s="2"/>
      <c r="GZ71" s="2"/>
      <c r="HA71" s="2">
        <v>0</v>
      </c>
      <c r="HB71" s="2">
        <v>0</v>
      </c>
      <c r="HC71" s="2">
        <f t="shared" si="81"/>
        <v>0</v>
      </c>
      <c r="HD71" s="2"/>
      <c r="HE71" s="2" t="s">
        <v>6</v>
      </c>
      <c r="HF71" s="2" t="s">
        <v>6</v>
      </c>
      <c r="HG71" s="2"/>
      <c r="HH71" s="2"/>
      <c r="HI71" s="2"/>
      <c r="HJ71" s="2"/>
      <c r="HK71" s="2"/>
      <c r="HL71" s="2"/>
      <c r="HM71" s="2" t="s">
        <v>6</v>
      </c>
      <c r="HN71" s="2" t="s">
        <v>6</v>
      </c>
      <c r="HO71" s="2" t="s">
        <v>6</v>
      </c>
      <c r="HP71" s="2" t="s">
        <v>6</v>
      </c>
      <c r="HQ71" s="2" t="s">
        <v>6</v>
      </c>
      <c r="HR71" s="2"/>
      <c r="HS71" s="2"/>
      <c r="HT71" s="2"/>
      <c r="HU71" s="2"/>
      <c r="HV71" s="2"/>
      <c r="HW71" s="2"/>
      <c r="HX71" s="2"/>
      <c r="HY71" s="2"/>
      <c r="HZ71" s="2"/>
      <c r="IA71" s="2"/>
      <c r="IB71" s="2"/>
      <c r="IC71" s="2"/>
      <c r="ID71" s="2"/>
      <c r="IE71" s="2"/>
      <c r="IF71" s="2">
        <v>-1</v>
      </c>
      <c r="IG71" s="2"/>
      <c r="IH71" s="2"/>
      <c r="II71" s="2"/>
      <c r="IJ71" s="2"/>
      <c r="IK71" s="2">
        <v>0</v>
      </c>
      <c r="IL71" s="2"/>
      <c r="IM71" s="2"/>
      <c r="IN71" s="2"/>
      <c r="IO71" s="2"/>
      <c r="IP71" s="2"/>
      <c r="IQ71" s="2"/>
      <c r="IR71" s="2"/>
      <c r="IS71" s="2"/>
      <c r="IT71" s="2"/>
      <c r="IU71" s="2"/>
    </row>
    <row r="72" spans="1:255" x14ac:dyDescent="0.2">
      <c r="A72">
        <v>18</v>
      </c>
      <c r="B72">
        <v>1</v>
      </c>
      <c r="C72">
        <v>89</v>
      </c>
      <c r="E72" t="s">
        <v>97</v>
      </c>
      <c r="F72" t="e">
        <f>'2.Лок.смета.и.Акт'!#REF!</f>
        <v>#REF!</v>
      </c>
      <c r="G72" t="s">
        <v>32</v>
      </c>
      <c r="H72" t="s">
        <v>33</v>
      </c>
      <c r="I72">
        <f>I66*J72</f>
        <v>2.0508999999999999</v>
      </c>
      <c r="J72">
        <v>9.9999999999999992E-2</v>
      </c>
      <c r="K72">
        <v>0.1</v>
      </c>
      <c r="O72">
        <f t="shared" si="45"/>
        <v>66</v>
      </c>
      <c r="P72">
        <f t="shared" si="46"/>
        <v>66</v>
      </c>
      <c r="Q72">
        <f t="shared" si="47"/>
        <v>0</v>
      </c>
      <c r="R72">
        <f t="shared" si="48"/>
        <v>0</v>
      </c>
      <c r="S72">
        <f t="shared" si="49"/>
        <v>0</v>
      </c>
      <c r="T72">
        <f t="shared" si="50"/>
        <v>0</v>
      </c>
      <c r="U72">
        <f t="shared" si="51"/>
        <v>0</v>
      </c>
      <c r="V72">
        <f t="shared" si="52"/>
        <v>0</v>
      </c>
      <c r="W72">
        <f t="shared" si="53"/>
        <v>0</v>
      </c>
      <c r="X72">
        <f t="shared" si="54"/>
        <v>0</v>
      </c>
      <c r="Y72">
        <f t="shared" si="55"/>
        <v>0</v>
      </c>
      <c r="AA72">
        <v>74242617</v>
      </c>
      <c r="AB72">
        <f t="shared" si="56"/>
        <v>4.28</v>
      </c>
      <c r="AC72">
        <f t="shared" si="85"/>
        <v>4.28</v>
      </c>
      <c r="AD72">
        <f t="shared" si="85"/>
        <v>0</v>
      </c>
      <c r="AE72">
        <f t="shared" si="58"/>
        <v>0</v>
      </c>
      <c r="AF72">
        <f t="shared" si="59"/>
        <v>0</v>
      </c>
      <c r="AG72">
        <f t="shared" si="60"/>
        <v>0</v>
      </c>
      <c r="AH72">
        <f t="shared" si="61"/>
        <v>0</v>
      </c>
      <c r="AI72">
        <f t="shared" si="62"/>
        <v>0</v>
      </c>
      <c r="AJ72">
        <f t="shared" si="63"/>
        <v>0</v>
      </c>
      <c r="AK72">
        <v>4.2799999999999994</v>
      </c>
      <c r="AL72">
        <v>4.2799999999999994</v>
      </c>
      <c r="AM72">
        <v>0</v>
      </c>
      <c r="AN72">
        <v>0</v>
      </c>
      <c r="AO72">
        <v>0</v>
      </c>
      <c r="AP72">
        <v>0</v>
      </c>
      <c r="AQ72">
        <v>0</v>
      </c>
      <c r="AR72">
        <v>0</v>
      </c>
      <c r="AS72">
        <v>0</v>
      </c>
      <c r="AT72">
        <v>0</v>
      </c>
      <c r="AU72">
        <v>0</v>
      </c>
      <c r="AV72">
        <v>1</v>
      </c>
      <c r="AW72">
        <v>1</v>
      </c>
      <c r="AZ72">
        <v>1</v>
      </c>
      <c r="BA72">
        <v>1</v>
      </c>
      <c r="BB72">
        <v>1</v>
      </c>
      <c r="BC72">
        <v>7.56</v>
      </c>
      <c r="BD72" t="s">
        <v>6</v>
      </c>
      <c r="BE72" t="s">
        <v>6</v>
      </c>
      <c r="BF72" t="s">
        <v>6</v>
      </c>
      <c r="BG72" t="s">
        <v>6</v>
      </c>
      <c r="BH72">
        <v>3</v>
      </c>
      <c r="BI72">
        <v>0</v>
      </c>
      <c r="BJ72" t="s">
        <v>34</v>
      </c>
      <c r="BM72">
        <v>3101</v>
      </c>
      <c r="BN72">
        <v>0</v>
      </c>
      <c r="BO72" t="s">
        <v>6</v>
      </c>
      <c r="BP72">
        <v>0</v>
      </c>
      <c r="BQ72">
        <v>0</v>
      </c>
      <c r="BR72">
        <v>0</v>
      </c>
      <c r="BS72">
        <v>1</v>
      </c>
      <c r="BT72">
        <v>1</v>
      </c>
      <c r="BU72">
        <v>1</v>
      </c>
      <c r="BV72">
        <v>1</v>
      </c>
      <c r="BW72">
        <v>1</v>
      </c>
      <c r="BX72">
        <v>1</v>
      </c>
      <c r="BY72" t="s">
        <v>6</v>
      </c>
      <c r="BZ72">
        <v>0</v>
      </c>
      <c r="CA72">
        <v>0</v>
      </c>
      <c r="CB72" t="s">
        <v>6</v>
      </c>
      <c r="CE72">
        <v>0</v>
      </c>
      <c r="CF72">
        <v>0</v>
      </c>
      <c r="CG72">
        <v>0</v>
      </c>
      <c r="CM72">
        <v>0</v>
      </c>
      <c r="CN72" t="s">
        <v>6</v>
      </c>
      <c r="CO72">
        <v>0</v>
      </c>
      <c r="CP72">
        <f t="shared" si="64"/>
        <v>66</v>
      </c>
      <c r="CQ72">
        <f t="shared" si="65"/>
        <v>32.3568</v>
      </c>
      <c r="CR72">
        <f t="shared" si="66"/>
        <v>0</v>
      </c>
      <c r="CS72">
        <f t="shared" si="67"/>
        <v>0</v>
      </c>
      <c r="CT72">
        <f t="shared" si="68"/>
        <v>0</v>
      </c>
      <c r="CU72">
        <f t="shared" si="69"/>
        <v>0</v>
      </c>
      <c r="CV72">
        <f t="shared" si="70"/>
        <v>0</v>
      </c>
      <c r="CW72">
        <f t="shared" si="71"/>
        <v>0</v>
      </c>
      <c r="CX72">
        <f t="shared" si="72"/>
        <v>0</v>
      </c>
      <c r="CY72">
        <f>(S72+R72)*(BZ72/100)</f>
        <v>0</v>
      </c>
      <c r="CZ72">
        <f>(S72+R72)*(CA72/100)</f>
        <v>0</v>
      </c>
      <c r="DC72" t="s">
        <v>6</v>
      </c>
      <c r="DD72" t="s">
        <v>6</v>
      </c>
      <c r="DE72" t="s">
        <v>6</v>
      </c>
      <c r="DF72" t="s">
        <v>6</v>
      </c>
      <c r="DG72" t="s">
        <v>6</v>
      </c>
      <c r="DH72" t="s">
        <v>6</v>
      </c>
      <c r="DI72" t="s">
        <v>6</v>
      </c>
      <c r="DJ72" t="s">
        <v>6</v>
      </c>
      <c r="DK72" t="s">
        <v>6</v>
      </c>
      <c r="DL72" t="s">
        <v>6</v>
      </c>
      <c r="DM72" t="s">
        <v>6</v>
      </c>
      <c r="DN72">
        <v>0</v>
      </c>
      <c r="DO72">
        <v>0</v>
      </c>
      <c r="DP72">
        <v>1</v>
      </c>
      <c r="DQ72">
        <v>1</v>
      </c>
      <c r="DU72">
        <v>1009</v>
      </c>
      <c r="DV72" t="s">
        <v>33</v>
      </c>
      <c r="DW72" t="e">
        <f>'2.Лок.смета.и.Акт'!#REF!</f>
        <v>#REF!</v>
      </c>
      <c r="DX72">
        <v>1</v>
      </c>
      <c r="DZ72" t="s">
        <v>6</v>
      </c>
      <c r="EA72" t="s">
        <v>6</v>
      </c>
      <c r="EB72" t="s">
        <v>6</v>
      </c>
      <c r="EC72" t="s">
        <v>6</v>
      </c>
      <c r="EE72">
        <v>0</v>
      </c>
      <c r="EF72">
        <v>0</v>
      </c>
      <c r="EG72" t="s">
        <v>6</v>
      </c>
      <c r="EH72">
        <v>0</v>
      </c>
      <c r="EI72" t="s">
        <v>6</v>
      </c>
      <c r="EJ72">
        <v>0</v>
      </c>
      <c r="EK72">
        <v>3101</v>
      </c>
      <c r="EL72" t="s">
        <v>6</v>
      </c>
      <c r="EM72" t="s">
        <v>6</v>
      </c>
      <c r="EO72" t="s">
        <v>6</v>
      </c>
      <c r="EQ72">
        <v>0</v>
      </c>
      <c r="ER72">
        <v>31</v>
      </c>
      <c r="ES72">
        <v>4.2799999999999994</v>
      </c>
      <c r="ET72">
        <v>0</v>
      </c>
      <c r="EU72">
        <v>0</v>
      </c>
      <c r="EV72">
        <v>0</v>
      </c>
      <c r="EW72">
        <v>0</v>
      </c>
      <c r="EX72">
        <v>0</v>
      </c>
      <c r="EZ72">
        <v>5</v>
      </c>
      <c r="FC72">
        <v>0</v>
      </c>
      <c r="FD72">
        <v>18</v>
      </c>
      <c r="FF72">
        <v>31</v>
      </c>
      <c r="FQ72">
        <v>0</v>
      </c>
      <c r="FR72">
        <f t="shared" si="73"/>
        <v>0</v>
      </c>
      <c r="FS72">
        <v>0</v>
      </c>
      <c r="FX72">
        <v>0</v>
      </c>
      <c r="FY72">
        <v>0</v>
      </c>
      <c r="GA72" t="s">
        <v>38</v>
      </c>
      <c r="GD72">
        <v>1</v>
      </c>
      <c r="GF72">
        <v>-386994921</v>
      </c>
      <c r="GG72">
        <v>2</v>
      </c>
      <c r="GH72">
        <v>3</v>
      </c>
      <c r="GI72">
        <v>5</v>
      </c>
      <c r="GJ72">
        <v>0</v>
      </c>
      <c r="GK72">
        <v>0</v>
      </c>
      <c r="GL72">
        <f t="shared" si="74"/>
        <v>0</v>
      </c>
      <c r="GM72">
        <f t="shared" si="75"/>
        <v>66</v>
      </c>
      <c r="GN72">
        <f t="shared" si="76"/>
        <v>66</v>
      </c>
      <c r="GO72">
        <f t="shared" si="77"/>
        <v>0</v>
      </c>
      <c r="GP72">
        <f t="shared" si="78"/>
        <v>0</v>
      </c>
      <c r="GR72">
        <v>1</v>
      </c>
      <c r="GS72">
        <v>1</v>
      </c>
      <c r="GT72">
        <v>0</v>
      </c>
      <c r="GU72" t="s">
        <v>6</v>
      </c>
      <c r="GV72">
        <f t="shared" si="79"/>
        <v>0</v>
      </c>
      <c r="GW72">
        <v>1</v>
      </c>
      <c r="GX72">
        <f t="shared" si="80"/>
        <v>0</v>
      </c>
      <c r="HA72">
        <v>0</v>
      </c>
      <c r="HB72">
        <v>0</v>
      </c>
      <c r="HC72">
        <f t="shared" si="81"/>
        <v>0</v>
      </c>
      <c r="HE72" t="s">
        <v>39</v>
      </c>
      <c r="HF72" t="s">
        <v>40</v>
      </c>
      <c r="HM72" t="s">
        <v>6</v>
      </c>
      <c r="HN72" t="s">
        <v>6</v>
      </c>
      <c r="HO72" t="s">
        <v>6</v>
      </c>
      <c r="HP72" t="s">
        <v>6</v>
      </c>
      <c r="HQ72" t="s">
        <v>6</v>
      </c>
      <c r="IF72">
        <v>-1</v>
      </c>
      <c r="IK72">
        <v>0</v>
      </c>
    </row>
    <row r="73" spans="1:255" x14ac:dyDescent="0.2">
      <c r="A73" s="2">
        <v>18</v>
      </c>
      <c r="B73" s="2">
        <v>1</v>
      </c>
      <c r="C73" s="2">
        <v>81</v>
      </c>
      <c r="D73" s="2"/>
      <c r="E73" s="2" t="s">
        <v>98</v>
      </c>
      <c r="F73" s="2" t="s">
        <v>73</v>
      </c>
      <c r="G73" s="2" t="s">
        <v>74</v>
      </c>
      <c r="H73" s="2" t="s">
        <v>75</v>
      </c>
      <c r="I73" s="2">
        <f>I65*J73</f>
        <v>0.35070400000000002</v>
      </c>
      <c r="J73" s="207">
        <f>'5.Ведомость_списания'!F52</f>
        <v>1.710000487590814E-2</v>
      </c>
      <c r="K73" s="2">
        <v>1.7100000000000001E-2</v>
      </c>
      <c r="L73" s="2"/>
      <c r="M73" s="2"/>
      <c r="N73" s="2"/>
      <c r="O73" s="2">
        <f t="shared" si="45"/>
        <v>3</v>
      </c>
      <c r="P73" s="2">
        <f t="shared" si="46"/>
        <v>3</v>
      </c>
      <c r="Q73" s="2">
        <f t="shared" si="47"/>
        <v>0</v>
      </c>
      <c r="R73" s="2">
        <f t="shared" si="48"/>
        <v>0</v>
      </c>
      <c r="S73" s="2">
        <f t="shared" si="49"/>
        <v>0</v>
      </c>
      <c r="T73" s="2">
        <f t="shared" si="50"/>
        <v>0</v>
      </c>
      <c r="U73" s="2">
        <f t="shared" si="51"/>
        <v>0</v>
      </c>
      <c r="V73" s="2">
        <f t="shared" si="52"/>
        <v>0</v>
      </c>
      <c r="W73" s="2">
        <f t="shared" si="53"/>
        <v>0</v>
      </c>
      <c r="X73" s="2">
        <f t="shared" si="54"/>
        <v>0</v>
      </c>
      <c r="Y73" s="2">
        <f t="shared" si="55"/>
        <v>0</v>
      </c>
      <c r="Z73" s="2"/>
      <c r="AA73" s="2">
        <v>74242616</v>
      </c>
      <c r="AB73" s="2">
        <f t="shared" si="56"/>
        <v>7.14</v>
      </c>
      <c r="AC73" s="2">
        <f t="shared" si="85"/>
        <v>7.14</v>
      </c>
      <c r="AD73" s="2">
        <f t="shared" si="85"/>
        <v>0</v>
      </c>
      <c r="AE73" s="2">
        <f t="shared" si="58"/>
        <v>0</v>
      </c>
      <c r="AF73" s="2">
        <f t="shared" si="59"/>
        <v>0</v>
      </c>
      <c r="AG73" s="2">
        <f t="shared" si="60"/>
        <v>0</v>
      </c>
      <c r="AH73" s="2">
        <f t="shared" si="61"/>
        <v>0</v>
      </c>
      <c r="AI73" s="2">
        <f t="shared" si="62"/>
        <v>0</v>
      </c>
      <c r="AJ73" s="2">
        <f t="shared" si="63"/>
        <v>0</v>
      </c>
      <c r="AK73" s="2">
        <v>7.14</v>
      </c>
      <c r="AL73" s="111">
        <f>'1.Лок.смета.и.Акт'!F146</f>
        <v>7.14</v>
      </c>
      <c r="AM73" s="2">
        <v>0</v>
      </c>
      <c r="AN73" s="2">
        <v>0</v>
      </c>
      <c r="AO73" s="2">
        <v>0</v>
      </c>
      <c r="AP73" s="2">
        <v>0</v>
      </c>
      <c r="AQ73" s="2">
        <v>0</v>
      </c>
      <c r="AR73" s="2">
        <v>0</v>
      </c>
      <c r="AS73" s="2">
        <v>0</v>
      </c>
      <c r="AT73" s="2">
        <v>0</v>
      </c>
      <c r="AU73" s="2">
        <v>0</v>
      </c>
      <c r="AV73" s="2">
        <v>1</v>
      </c>
      <c r="AW73" s="2">
        <v>1</v>
      </c>
      <c r="AX73" s="2"/>
      <c r="AY73" s="2"/>
      <c r="AZ73" s="2">
        <v>1</v>
      </c>
      <c r="BA73" s="2">
        <v>1</v>
      </c>
      <c r="BB73" s="2">
        <v>1</v>
      </c>
      <c r="BC73" s="2">
        <v>1</v>
      </c>
      <c r="BD73" s="2" t="s">
        <v>6</v>
      </c>
      <c r="BE73" s="2" t="s">
        <v>6</v>
      </c>
      <c r="BF73" s="2" t="s">
        <v>6</v>
      </c>
      <c r="BG73" s="2" t="s">
        <v>6</v>
      </c>
      <c r="BH73" s="2">
        <v>3</v>
      </c>
      <c r="BI73" s="2">
        <v>0</v>
      </c>
      <c r="BJ73" s="2" t="s">
        <v>76</v>
      </c>
      <c r="BK73" s="2"/>
      <c r="BL73" s="2"/>
      <c r="BM73" s="2">
        <v>3411</v>
      </c>
      <c r="BN73" s="2">
        <v>0</v>
      </c>
      <c r="BO73" s="2" t="s">
        <v>6</v>
      </c>
      <c r="BP73" s="2">
        <v>0</v>
      </c>
      <c r="BQ73" s="2">
        <v>0</v>
      </c>
      <c r="BR73" s="2">
        <v>0</v>
      </c>
      <c r="BS73" s="2">
        <v>1</v>
      </c>
      <c r="BT73" s="2">
        <v>1</v>
      </c>
      <c r="BU73" s="2">
        <v>1</v>
      </c>
      <c r="BV73" s="2">
        <v>1</v>
      </c>
      <c r="BW73" s="2">
        <v>1</v>
      </c>
      <c r="BX73" s="2">
        <v>1</v>
      </c>
      <c r="BY73" s="2" t="s">
        <v>6</v>
      </c>
      <c r="BZ73" s="2">
        <v>0</v>
      </c>
      <c r="CA73" s="2">
        <v>0</v>
      </c>
      <c r="CB73" s="2" t="s">
        <v>6</v>
      </c>
      <c r="CC73" s="2"/>
      <c r="CD73" s="2"/>
      <c r="CE73" s="2">
        <v>0</v>
      </c>
      <c r="CF73" s="2">
        <v>0</v>
      </c>
      <c r="CG73" s="2">
        <v>0</v>
      </c>
      <c r="CH73" s="2"/>
      <c r="CI73" s="2"/>
      <c r="CJ73" s="2"/>
      <c r="CK73" s="2"/>
      <c r="CL73" s="2"/>
      <c r="CM73" s="2">
        <v>0</v>
      </c>
      <c r="CN73" s="2" t="s">
        <v>6</v>
      </c>
      <c r="CO73" s="2">
        <v>0</v>
      </c>
      <c r="CP73" s="2">
        <f t="shared" si="64"/>
        <v>3</v>
      </c>
      <c r="CQ73" s="2">
        <f t="shared" si="65"/>
        <v>7.14</v>
      </c>
      <c r="CR73" s="2">
        <f t="shared" si="66"/>
        <v>0</v>
      </c>
      <c r="CS73" s="2">
        <f t="shared" si="67"/>
        <v>0</v>
      </c>
      <c r="CT73" s="2">
        <f t="shared" si="68"/>
        <v>0</v>
      </c>
      <c r="CU73" s="2">
        <f t="shared" si="69"/>
        <v>0</v>
      </c>
      <c r="CV73" s="2">
        <f t="shared" si="70"/>
        <v>0</v>
      </c>
      <c r="CW73" s="2">
        <f t="shared" si="71"/>
        <v>0</v>
      </c>
      <c r="CX73" s="2">
        <f t="shared" si="72"/>
        <v>0</v>
      </c>
      <c r="CY73" s="2">
        <f>0</f>
        <v>0</v>
      </c>
      <c r="CZ73" s="2">
        <f>0</f>
        <v>0</v>
      </c>
      <c r="DA73" s="2"/>
      <c r="DB73" s="2"/>
      <c r="DC73" s="2" t="s">
        <v>6</v>
      </c>
      <c r="DD73" s="2" t="s">
        <v>6</v>
      </c>
      <c r="DE73" s="2" t="s">
        <v>6</v>
      </c>
      <c r="DF73" s="2" t="s">
        <v>6</v>
      </c>
      <c r="DG73" s="2" t="s">
        <v>6</v>
      </c>
      <c r="DH73" s="2" t="s">
        <v>6</v>
      </c>
      <c r="DI73" s="2" t="s">
        <v>6</v>
      </c>
      <c r="DJ73" s="2" t="s">
        <v>6</v>
      </c>
      <c r="DK73" s="2" t="s">
        <v>6</v>
      </c>
      <c r="DL73" s="2" t="s">
        <v>6</v>
      </c>
      <c r="DM73" s="2" t="s">
        <v>6</v>
      </c>
      <c r="DN73" s="2">
        <v>0</v>
      </c>
      <c r="DO73" s="2">
        <v>0</v>
      </c>
      <c r="DP73" s="2">
        <v>1</v>
      </c>
      <c r="DQ73" s="2">
        <v>1</v>
      </c>
      <c r="DR73" s="2"/>
      <c r="DS73" s="2"/>
      <c r="DT73" s="2"/>
      <c r="DU73" s="2">
        <v>1007</v>
      </c>
      <c r="DV73" s="2" t="s">
        <v>75</v>
      </c>
      <c r="DW73" s="2" t="s">
        <v>75</v>
      </c>
      <c r="DX73" s="2">
        <v>1</v>
      </c>
      <c r="DY73" s="2"/>
      <c r="DZ73" s="2" t="s">
        <v>6</v>
      </c>
      <c r="EA73" s="2" t="s">
        <v>6</v>
      </c>
      <c r="EB73" s="2" t="s">
        <v>6</v>
      </c>
      <c r="EC73" s="2" t="s">
        <v>6</v>
      </c>
      <c r="ED73" s="2"/>
      <c r="EE73" s="2">
        <v>0</v>
      </c>
      <c r="EF73" s="2">
        <v>0</v>
      </c>
      <c r="EG73" s="2" t="s">
        <v>6</v>
      </c>
      <c r="EH73" s="2">
        <v>0</v>
      </c>
      <c r="EI73" s="2" t="s">
        <v>6</v>
      </c>
      <c r="EJ73" s="2">
        <v>0</v>
      </c>
      <c r="EK73" s="2">
        <v>3411</v>
      </c>
      <c r="EL73" s="2" t="s">
        <v>6</v>
      </c>
      <c r="EM73" s="2" t="s">
        <v>6</v>
      </c>
      <c r="EN73" s="2"/>
      <c r="EO73" s="2" t="s">
        <v>6</v>
      </c>
      <c r="EP73" s="2"/>
      <c r="EQ73" s="2">
        <v>0</v>
      </c>
      <c r="ER73" s="2">
        <v>7.14</v>
      </c>
      <c r="ES73" s="111">
        <f>'1.Лок.смета.и.Акт'!F146</f>
        <v>7.14</v>
      </c>
      <c r="ET73" s="2">
        <v>0</v>
      </c>
      <c r="EU73" s="2">
        <v>0</v>
      </c>
      <c r="EV73" s="2">
        <v>0</v>
      </c>
      <c r="EW73" s="2">
        <v>0</v>
      </c>
      <c r="EX73" s="2">
        <v>0</v>
      </c>
      <c r="EY73" s="2"/>
      <c r="EZ73" s="2"/>
      <c r="FA73" s="2"/>
      <c r="FB73" s="2"/>
      <c r="FC73" s="2"/>
      <c r="FD73" s="2"/>
      <c r="FE73" s="2"/>
      <c r="FF73" s="2"/>
      <c r="FG73" s="2"/>
      <c r="FH73" s="2"/>
      <c r="FI73" s="2"/>
      <c r="FJ73" s="2"/>
      <c r="FK73" s="2"/>
      <c r="FL73" s="2"/>
      <c r="FM73" s="2"/>
      <c r="FN73" s="2"/>
      <c r="FO73" s="2"/>
      <c r="FP73" s="2"/>
      <c r="FQ73" s="2">
        <v>0</v>
      </c>
      <c r="FR73" s="2">
        <f t="shared" si="73"/>
        <v>0</v>
      </c>
      <c r="FS73" s="2">
        <v>0</v>
      </c>
      <c r="FT73" s="2"/>
      <c r="FU73" s="2"/>
      <c r="FV73" s="2"/>
      <c r="FW73" s="2"/>
      <c r="FX73" s="2">
        <v>0</v>
      </c>
      <c r="FY73" s="2">
        <v>0</v>
      </c>
      <c r="FZ73" s="2"/>
      <c r="GA73" s="2" t="s">
        <v>6</v>
      </c>
      <c r="GB73" s="2"/>
      <c r="GC73" s="2"/>
      <c r="GD73" s="2">
        <v>1</v>
      </c>
      <c r="GE73" s="2"/>
      <c r="GF73" s="2">
        <v>1444665788</v>
      </c>
      <c r="GG73" s="2">
        <v>2</v>
      </c>
      <c r="GH73" s="2">
        <v>1</v>
      </c>
      <c r="GI73" s="2">
        <v>-2</v>
      </c>
      <c r="GJ73" s="2">
        <v>0</v>
      </c>
      <c r="GK73" s="2">
        <v>0</v>
      </c>
      <c r="GL73" s="2">
        <f t="shared" si="74"/>
        <v>0</v>
      </c>
      <c r="GM73" s="2">
        <f t="shared" si="75"/>
        <v>3</v>
      </c>
      <c r="GN73" s="2">
        <f t="shared" si="76"/>
        <v>3</v>
      </c>
      <c r="GO73" s="2">
        <f t="shared" si="77"/>
        <v>0</v>
      </c>
      <c r="GP73" s="2">
        <f t="shared" si="78"/>
        <v>0</v>
      </c>
      <c r="GQ73" s="2"/>
      <c r="GR73" s="2">
        <v>0</v>
      </c>
      <c r="GS73" s="2">
        <v>3</v>
      </c>
      <c r="GT73" s="2">
        <v>0</v>
      </c>
      <c r="GU73" s="2" t="s">
        <v>6</v>
      </c>
      <c r="GV73" s="2">
        <f t="shared" si="79"/>
        <v>0</v>
      </c>
      <c r="GW73" s="2">
        <v>1</v>
      </c>
      <c r="GX73" s="2">
        <f t="shared" si="80"/>
        <v>0</v>
      </c>
      <c r="GY73" s="2"/>
      <c r="GZ73" s="2"/>
      <c r="HA73" s="2">
        <v>0</v>
      </c>
      <c r="HB73" s="2">
        <v>0</v>
      </c>
      <c r="HC73" s="2">
        <f t="shared" si="81"/>
        <v>0</v>
      </c>
      <c r="HD73" s="2"/>
      <c r="HE73" s="2" t="s">
        <v>6</v>
      </c>
      <c r="HF73" s="2" t="s">
        <v>6</v>
      </c>
      <c r="HG73" s="2"/>
      <c r="HH73" s="2"/>
      <c r="HI73" s="2"/>
      <c r="HJ73" s="2"/>
      <c r="HK73" s="2"/>
      <c r="HL73" s="2"/>
      <c r="HM73" s="2" t="s">
        <v>6</v>
      </c>
      <c r="HN73" s="2" t="s">
        <v>6</v>
      </c>
      <c r="HO73" s="2" t="s">
        <v>6</v>
      </c>
      <c r="HP73" s="2" t="s">
        <v>6</v>
      </c>
      <c r="HQ73" s="2" t="s">
        <v>6</v>
      </c>
      <c r="HR73" s="2"/>
      <c r="HS73" s="2"/>
      <c r="HT73" s="2"/>
      <c r="HU73" s="2"/>
      <c r="HV73" s="2"/>
      <c r="HW73" s="2"/>
      <c r="HX73" s="2"/>
      <c r="HY73" s="2"/>
      <c r="HZ73" s="2"/>
      <c r="IA73" s="2"/>
      <c r="IB73" s="2"/>
      <c r="IC73" s="2"/>
      <c r="ID73" s="2"/>
      <c r="IE73" s="2"/>
      <c r="IF73" s="2">
        <v>-1</v>
      </c>
      <c r="IG73" s="2"/>
      <c r="IH73" s="2"/>
      <c r="II73" s="2"/>
      <c r="IJ73" s="2"/>
      <c r="IK73" s="2">
        <v>0</v>
      </c>
      <c r="IL73" s="2"/>
      <c r="IM73" s="2"/>
      <c r="IN73" s="2"/>
      <c r="IO73" s="2"/>
      <c r="IP73" s="2"/>
      <c r="IQ73" s="2"/>
      <c r="IR73" s="2"/>
      <c r="IS73" s="2"/>
      <c r="IT73" s="2"/>
      <c r="IU73" s="2"/>
    </row>
    <row r="74" spans="1:255" x14ac:dyDescent="0.2">
      <c r="A74">
        <v>18</v>
      </c>
      <c r="B74">
        <v>1</v>
      </c>
      <c r="C74">
        <v>90</v>
      </c>
      <c r="E74" t="s">
        <v>98</v>
      </c>
      <c r="F74" t="e">
        <f>'2.Лок.смета.и.Акт'!#REF!</f>
        <v>#REF!</v>
      </c>
      <c r="G74" t="s">
        <v>74</v>
      </c>
      <c r="H74" t="s">
        <v>75</v>
      </c>
      <c r="I74">
        <f>I66*J74</f>
        <v>0.35070400000000002</v>
      </c>
      <c r="J74">
        <v>1.710000487590814E-2</v>
      </c>
      <c r="K74">
        <v>1.7100000000000001E-2</v>
      </c>
      <c r="O74">
        <f t="shared" si="45"/>
        <v>5</v>
      </c>
      <c r="P74">
        <f t="shared" si="46"/>
        <v>5</v>
      </c>
      <c r="Q74">
        <f t="shared" si="47"/>
        <v>0</v>
      </c>
      <c r="R74">
        <f t="shared" si="48"/>
        <v>0</v>
      </c>
      <c r="S74">
        <f t="shared" si="49"/>
        <v>0</v>
      </c>
      <c r="T74">
        <f t="shared" si="50"/>
        <v>0</v>
      </c>
      <c r="U74">
        <f t="shared" si="51"/>
        <v>0</v>
      </c>
      <c r="V74">
        <f t="shared" si="52"/>
        <v>0</v>
      </c>
      <c r="W74">
        <f t="shared" si="53"/>
        <v>0</v>
      </c>
      <c r="X74">
        <f t="shared" si="54"/>
        <v>0</v>
      </c>
      <c r="Y74">
        <f t="shared" si="55"/>
        <v>0</v>
      </c>
      <c r="AA74">
        <v>74242617</v>
      </c>
      <c r="AB74">
        <f t="shared" si="56"/>
        <v>1.97</v>
      </c>
      <c r="AC74">
        <f t="shared" si="85"/>
        <v>1.97</v>
      </c>
      <c r="AD74">
        <f t="shared" si="85"/>
        <v>0</v>
      </c>
      <c r="AE74">
        <f t="shared" si="58"/>
        <v>0</v>
      </c>
      <c r="AF74">
        <f t="shared" si="59"/>
        <v>0</v>
      </c>
      <c r="AG74">
        <f t="shared" si="60"/>
        <v>0</v>
      </c>
      <c r="AH74">
        <f t="shared" si="61"/>
        <v>0</v>
      </c>
      <c r="AI74">
        <f t="shared" si="62"/>
        <v>0</v>
      </c>
      <c r="AJ74">
        <f t="shared" si="63"/>
        <v>0</v>
      </c>
      <c r="AK74">
        <v>1.97</v>
      </c>
      <c r="AL74">
        <v>1.97</v>
      </c>
      <c r="AM74">
        <v>0</v>
      </c>
      <c r="AN74">
        <v>0</v>
      </c>
      <c r="AO74">
        <v>0</v>
      </c>
      <c r="AP74">
        <v>0</v>
      </c>
      <c r="AQ74">
        <v>0</v>
      </c>
      <c r="AR74">
        <v>0</v>
      </c>
      <c r="AS74">
        <v>0</v>
      </c>
      <c r="AT74">
        <v>0</v>
      </c>
      <c r="AU74">
        <v>0</v>
      </c>
      <c r="AV74">
        <v>1</v>
      </c>
      <c r="AW74">
        <v>1</v>
      </c>
      <c r="AZ74">
        <v>1</v>
      </c>
      <c r="BA74">
        <v>1</v>
      </c>
      <c r="BB74">
        <v>1</v>
      </c>
      <c r="BC74">
        <v>7.56</v>
      </c>
      <c r="BD74" t="s">
        <v>6</v>
      </c>
      <c r="BE74" t="s">
        <v>6</v>
      </c>
      <c r="BF74" t="s">
        <v>6</v>
      </c>
      <c r="BG74" t="s">
        <v>6</v>
      </c>
      <c r="BH74">
        <v>3</v>
      </c>
      <c r="BI74">
        <v>0</v>
      </c>
      <c r="BJ74" t="s">
        <v>76</v>
      </c>
      <c r="BM74">
        <v>3411</v>
      </c>
      <c r="BN74">
        <v>0</v>
      </c>
      <c r="BO74" t="s">
        <v>6</v>
      </c>
      <c r="BP74">
        <v>0</v>
      </c>
      <c r="BQ74">
        <v>0</v>
      </c>
      <c r="BR74">
        <v>0</v>
      </c>
      <c r="BS74">
        <v>1</v>
      </c>
      <c r="BT74">
        <v>1</v>
      </c>
      <c r="BU74">
        <v>1</v>
      </c>
      <c r="BV74">
        <v>1</v>
      </c>
      <c r="BW74">
        <v>1</v>
      </c>
      <c r="BX74">
        <v>1</v>
      </c>
      <c r="BY74" t="s">
        <v>6</v>
      </c>
      <c r="BZ74">
        <v>0</v>
      </c>
      <c r="CA74">
        <v>0</v>
      </c>
      <c r="CB74" t="s">
        <v>6</v>
      </c>
      <c r="CE74">
        <v>0</v>
      </c>
      <c r="CF74">
        <v>0</v>
      </c>
      <c r="CG74">
        <v>0</v>
      </c>
      <c r="CM74">
        <v>0</v>
      </c>
      <c r="CN74" t="s">
        <v>6</v>
      </c>
      <c r="CO74">
        <v>0</v>
      </c>
      <c r="CP74">
        <f t="shared" si="64"/>
        <v>5</v>
      </c>
      <c r="CQ74">
        <f t="shared" si="65"/>
        <v>14.893199999999998</v>
      </c>
      <c r="CR74">
        <f t="shared" si="66"/>
        <v>0</v>
      </c>
      <c r="CS74">
        <f t="shared" si="67"/>
        <v>0</v>
      </c>
      <c r="CT74">
        <f t="shared" si="68"/>
        <v>0</v>
      </c>
      <c r="CU74">
        <f t="shared" si="69"/>
        <v>0</v>
      </c>
      <c r="CV74">
        <f t="shared" si="70"/>
        <v>0</v>
      </c>
      <c r="CW74">
        <f t="shared" si="71"/>
        <v>0</v>
      </c>
      <c r="CX74">
        <f t="shared" si="72"/>
        <v>0</v>
      </c>
      <c r="CY74">
        <f>(S74+R74)*(BZ74/100)</f>
        <v>0</v>
      </c>
      <c r="CZ74">
        <f>(S74+R74)*(CA74/100)</f>
        <v>0</v>
      </c>
      <c r="DC74" t="s">
        <v>6</v>
      </c>
      <c r="DD74" t="s">
        <v>6</v>
      </c>
      <c r="DE74" t="s">
        <v>6</v>
      </c>
      <c r="DF74" t="s">
        <v>6</v>
      </c>
      <c r="DG74" t="s">
        <v>6</v>
      </c>
      <c r="DH74" t="s">
        <v>6</v>
      </c>
      <c r="DI74" t="s">
        <v>6</v>
      </c>
      <c r="DJ74" t="s">
        <v>6</v>
      </c>
      <c r="DK74" t="s">
        <v>6</v>
      </c>
      <c r="DL74" t="s">
        <v>6</v>
      </c>
      <c r="DM74" t="s">
        <v>6</v>
      </c>
      <c r="DN74">
        <v>0</v>
      </c>
      <c r="DO74">
        <v>0</v>
      </c>
      <c r="DP74">
        <v>1</v>
      </c>
      <c r="DQ74">
        <v>1</v>
      </c>
      <c r="DU74">
        <v>1007</v>
      </c>
      <c r="DV74" t="s">
        <v>75</v>
      </c>
      <c r="DW74" t="e">
        <f>'2.Лок.смета.и.Акт'!#REF!</f>
        <v>#REF!</v>
      </c>
      <c r="DX74">
        <v>1</v>
      </c>
      <c r="DZ74" t="s">
        <v>6</v>
      </c>
      <c r="EA74" t="s">
        <v>6</v>
      </c>
      <c r="EB74" t="s">
        <v>6</v>
      </c>
      <c r="EC74" t="s">
        <v>6</v>
      </c>
      <c r="EE74">
        <v>0</v>
      </c>
      <c r="EF74">
        <v>0</v>
      </c>
      <c r="EG74" t="s">
        <v>6</v>
      </c>
      <c r="EH74">
        <v>0</v>
      </c>
      <c r="EI74" t="s">
        <v>6</v>
      </c>
      <c r="EJ74">
        <v>0</v>
      </c>
      <c r="EK74">
        <v>3411</v>
      </c>
      <c r="EL74" t="s">
        <v>6</v>
      </c>
      <c r="EM74" t="s">
        <v>6</v>
      </c>
      <c r="EO74" t="s">
        <v>6</v>
      </c>
      <c r="EQ74">
        <v>0</v>
      </c>
      <c r="ER74">
        <v>14.19</v>
      </c>
      <c r="ES74">
        <v>1.97</v>
      </c>
      <c r="ET74">
        <v>0</v>
      </c>
      <c r="EU74">
        <v>0</v>
      </c>
      <c r="EV74">
        <v>0</v>
      </c>
      <c r="EW74">
        <v>0</v>
      </c>
      <c r="EX74">
        <v>0</v>
      </c>
      <c r="EZ74">
        <v>5</v>
      </c>
      <c r="FC74">
        <v>0</v>
      </c>
      <c r="FD74">
        <v>18</v>
      </c>
      <c r="FF74">
        <v>14.19</v>
      </c>
      <c r="FQ74">
        <v>0</v>
      </c>
      <c r="FR74">
        <f t="shared" si="73"/>
        <v>0</v>
      </c>
      <c r="FS74">
        <v>0</v>
      </c>
      <c r="FX74">
        <v>0</v>
      </c>
      <c r="FY74">
        <v>0</v>
      </c>
      <c r="GA74" t="s">
        <v>77</v>
      </c>
      <c r="GD74">
        <v>1</v>
      </c>
      <c r="GF74">
        <v>1444665788</v>
      </c>
      <c r="GG74">
        <v>2</v>
      </c>
      <c r="GH74">
        <v>3</v>
      </c>
      <c r="GI74">
        <v>5</v>
      </c>
      <c r="GJ74">
        <v>0</v>
      </c>
      <c r="GK74">
        <v>0</v>
      </c>
      <c r="GL74">
        <f t="shared" si="74"/>
        <v>0</v>
      </c>
      <c r="GM74">
        <f t="shared" si="75"/>
        <v>5</v>
      </c>
      <c r="GN74">
        <f t="shared" si="76"/>
        <v>5</v>
      </c>
      <c r="GO74">
        <f t="shared" si="77"/>
        <v>0</v>
      </c>
      <c r="GP74">
        <f t="shared" si="78"/>
        <v>0</v>
      </c>
      <c r="GR74">
        <v>1</v>
      </c>
      <c r="GS74">
        <v>1</v>
      </c>
      <c r="GT74">
        <v>0</v>
      </c>
      <c r="GU74" t="s">
        <v>6</v>
      </c>
      <c r="GV74">
        <f t="shared" si="79"/>
        <v>0</v>
      </c>
      <c r="GW74">
        <v>1</v>
      </c>
      <c r="GX74">
        <f t="shared" si="80"/>
        <v>0</v>
      </c>
      <c r="HA74">
        <v>0</v>
      </c>
      <c r="HB74">
        <v>0</v>
      </c>
      <c r="HC74">
        <f t="shared" si="81"/>
        <v>0</v>
      </c>
      <c r="HE74" t="s">
        <v>39</v>
      </c>
      <c r="HF74" t="s">
        <v>40</v>
      </c>
      <c r="HM74" t="s">
        <v>6</v>
      </c>
      <c r="HN74" t="s">
        <v>6</v>
      </c>
      <c r="HO74" t="s">
        <v>6</v>
      </c>
      <c r="HP74" t="s">
        <v>6</v>
      </c>
      <c r="HQ74" t="s">
        <v>6</v>
      </c>
      <c r="IF74">
        <v>-1</v>
      </c>
      <c r="IK74">
        <v>0</v>
      </c>
    </row>
    <row r="75" spans="1:255" x14ac:dyDescent="0.2">
      <c r="A75" s="2">
        <v>17</v>
      </c>
      <c r="B75" s="2">
        <v>1</v>
      </c>
      <c r="C75" s="2">
        <f>ROW(SmtRes!A96)</f>
        <v>96</v>
      </c>
      <c r="D75" s="2">
        <f>ROW(EtalonRes!A96)</f>
        <v>96</v>
      </c>
      <c r="E75" s="2" t="s">
        <v>99</v>
      </c>
      <c r="F75" s="2" t="s">
        <v>100</v>
      </c>
      <c r="G75" s="2" t="s">
        <v>101</v>
      </c>
      <c r="H75" s="2" t="s">
        <v>23</v>
      </c>
      <c r="I75" s="2">
        <f>'2.Лок.смета.и.Акт'!E35</f>
        <v>4.7140000000000004</v>
      </c>
      <c r="J75" s="2">
        <v>0</v>
      </c>
      <c r="K75" s="2">
        <v>4.7140000000000004</v>
      </c>
      <c r="L75" s="2"/>
      <c r="M75" s="2"/>
      <c r="N75" s="2"/>
      <c r="O75" s="2">
        <f t="shared" si="45"/>
        <v>756</v>
      </c>
      <c r="P75" s="2">
        <f t="shared" si="46"/>
        <v>0</v>
      </c>
      <c r="Q75" s="2">
        <f t="shared" si="47"/>
        <v>10</v>
      </c>
      <c r="R75" s="2">
        <f t="shared" si="48"/>
        <v>1</v>
      </c>
      <c r="S75" s="2">
        <f t="shared" si="49"/>
        <v>746</v>
      </c>
      <c r="T75" s="2">
        <f t="shared" si="50"/>
        <v>0</v>
      </c>
      <c r="U75" s="2">
        <f t="shared" si="51"/>
        <v>76.932480000000012</v>
      </c>
      <c r="V75" s="2">
        <f t="shared" si="52"/>
        <v>4.7140000000000008E-2</v>
      </c>
      <c r="W75" s="2">
        <f t="shared" si="53"/>
        <v>0</v>
      </c>
      <c r="X75" s="2">
        <f t="shared" si="54"/>
        <v>784</v>
      </c>
      <c r="Y75" s="2">
        <f t="shared" si="55"/>
        <v>411</v>
      </c>
      <c r="Z75" s="2"/>
      <c r="AA75" s="2">
        <v>74242616</v>
      </c>
      <c r="AB75" s="2">
        <f t="shared" si="56"/>
        <v>160.47999999999999</v>
      </c>
      <c r="AC75" s="2">
        <f>ROUND((ES75+(SUM(SmtRes!BC91:'SmtRes'!BC96)+SUM(EtalonRes!AL91:'EtalonRes'!AL96))),2)</f>
        <v>0</v>
      </c>
      <c r="AD75" s="2">
        <f t="shared" ref="AD75:AD80" si="86">ROUND((((ET75)-(EU75))+AE75),2)</f>
        <v>2.1800000000000002</v>
      </c>
      <c r="AE75" s="2">
        <f t="shared" si="58"/>
        <v>0.14000000000000001</v>
      </c>
      <c r="AF75" s="2">
        <f t="shared" si="59"/>
        <v>158.30000000000001</v>
      </c>
      <c r="AG75" s="2">
        <f t="shared" si="60"/>
        <v>0</v>
      </c>
      <c r="AH75" s="2">
        <f t="shared" si="61"/>
        <v>16.32</v>
      </c>
      <c r="AI75" s="2">
        <f t="shared" si="62"/>
        <v>0.01</v>
      </c>
      <c r="AJ75" s="2">
        <f t="shared" si="63"/>
        <v>0</v>
      </c>
      <c r="AK75" s="2">
        <v>160.84</v>
      </c>
      <c r="AL75" s="2">
        <v>0.36</v>
      </c>
      <c r="AM75" s="2">
        <v>2.1800000000000002</v>
      </c>
      <c r="AN75" s="2">
        <v>0.14000000000000001</v>
      </c>
      <c r="AO75" s="2">
        <v>158.30000000000001</v>
      </c>
      <c r="AP75" s="2">
        <v>0</v>
      </c>
      <c r="AQ75" s="2">
        <v>16.32</v>
      </c>
      <c r="AR75" s="2">
        <v>0.01</v>
      </c>
      <c r="AS75" s="2">
        <v>0</v>
      </c>
      <c r="AT75" s="2">
        <v>105</v>
      </c>
      <c r="AU75" s="2">
        <v>55</v>
      </c>
      <c r="AV75" s="2">
        <v>1</v>
      </c>
      <c r="AW75" s="2">
        <v>1</v>
      </c>
      <c r="AX75" s="2"/>
      <c r="AY75" s="2"/>
      <c r="AZ75" s="2">
        <v>1</v>
      </c>
      <c r="BA75" s="2">
        <v>1</v>
      </c>
      <c r="BB75" s="2">
        <v>1</v>
      </c>
      <c r="BC75" s="2">
        <v>1</v>
      </c>
      <c r="BD75" s="2" t="s">
        <v>6</v>
      </c>
      <c r="BE75" s="2" t="s">
        <v>6</v>
      </c>
      <c r="BF75" s="2" t="s">
        <v>6</v>
      </c>
      <c r="BG75" s="2" t="s">
        <v>6</v>
      </c>
      <c r="BH75" s="2">
        <v>0</v>
      </c>
      <c r="BI75" s="2">
        <v>1</v>
      </c>
      <c r="BJ75" s="2" t="s">
        <v>102</v>
      </c>
      <c r="BK75" s="2"/>
      <c r="BL75" s="2"/>
      <c r="BM75" s="2">
        <v>15001</v>
      </c>
      <c r="BN75" s="2">
        <v>0</v>
      </c>
      <c r="BO75" s="2" t="s">
        <v>6</v>
      </c>
      <c r="BP75" s="2">
        <v>0</v>
      </c>
      <c r="BQ75" s="2">
        <v>2</v>
      </c>
      <c r="BR75" s="2">
        <v>0</v>
      </c>
      <c r="BS75" s="2">
        <v>1</v>
      </c>
      <c r="BT75" s="2">
        <v>1</v>
      </c>
      <c r="BU75" s="2">
        <v>1</v>
      </c>
      <c r="BV75" s="2">
        <v>1</v>
      </c>
      <c r="BW75" s="2">
        <v>1</v>
      </c>
      <c r="BX75" s="2">
        <v>1</v>
      </c>
      <c r="BY75" s="2" t="s">
        <v>6</v>
      </c>
      <c r="BZ75" s="2">
        <v>105</v>
      </c>
      <c r="CA75" s="2">
        <v>55</v>
      </c>
      <c r="CB75" s="2" t="s">
        <v>6</v>
      </c>
      <c r="CC75" s="2"/>
      <c r="CD75" s="2"/>
      <c r="CE75" s="2">
        <v>0</v>
      </c>
      <c r="CF75" s="2">
        <v>0</v>
      </c>
      <c r="CG75" s="2">
        <v>0</v>
      </c>
      <c r="CH75" s="2"/>
      <c r="CI75" s="2"/>
      <c r="CJ75" s="2"/>
      <c r="CK75" s="2"/>
      <c r="CL75" s="2"/>
      <c r="CM75" s="2">
        <v>0</v>
      </c>
      <c r="CN75" s="2" t="s">
        <v>6</v>
      </c>
      <c r="CO75" s="2">
        <v>0</v>
      </c>
      <c r="CP75" s="2">
        <f t="shared" si="64"/>
        <v>756</v>
      </c>
      <c r="CQ75" s="2">
        <f t="shared" si="65"/>
        <v>0</v>
      </c>
      <c r="CR75" s="2">
        <f t="shared" si="66"/>
        <v>2.1800000000000002</v>
      </c>
      <c r="CS75" s="2">
        <f t="shared" si="67"/>
        <v>0.14000000000000001</v>
      </c>
      <c r="CT75" s="2">
        <f t="shared" si="68"/>
        <v>158.30000000000001</v>
      </c>
      <c r="CU75" s="2">
        <f t="shared" si="69"/>
        <v>0</v>
      </c>
      <c r="CV75" s="2">
        <f t="shared" si="70"/>
        <v>16.32</v>
      </c>
      <c r="CW75" s="2">
        <f t="shared" si="71"/>
        <v>0.01</v>
      </c>
      <c r="CX75" s="2">
        <f t="shared" si="72"/>
        <v>0</v>
      </c>
      <c r="CY75" s="2">
        <f>(((S75+R75)*AT75)/100)</f>
        <v>784.35</v>
      </c>
      <c r="CZ75" s="2">
        <f>(((S75+R75)*AU75)/100)</f>
        <v>410.85</v>
      </c>
      <c r="DA75" s="2"/>
      <c r="DB75" s="2"/>
      <c r="DC75" s="2" t="s">
        <v>6</v>
      </c>
      <c r="DD75" s="2" t="s">
        <v>6</v>
      </c>
      <c r="DE75" s="2" t="s">
        <v>6</v>
      </c>
      <c r="DF75" s="2" t="s">
        <v>6</v>
      </c>
      <c r="DG75" s="2" t="s">
        <v>6</v>
      </c>
      <c r="DH75" s="2" t="s">
        <v>6</v>
      </c>
      <c r="DI75" s="2" t="s">
        <v>6</v>
      </c>
      <c r="DJ75" s="2" t="s">
        <v>6</v>
      </c>
      <c r="DK75" s="2" t="s">
        <v>6</v>
      </c>
      <c r="DL75" s="2" t="s">
        <v>6</v>
      </c>
      <c r="DM75" s="2" t="s">
        <v>6</v>
      </c>
      <c r="DN75" s="2">
        <v>0</v>
      </c>
      <c r="DO75" s="2">
        <v>0</v>
      </c>
      <c r="DP75" s="2">
        <v>1</v>
      </c>
      <c r="DQ75" s="2">
        <v>1</v>
      </c>
      <c r="DR75" s="2"/>
      <c r="DS75" s="2"/>
      <c r="DT75" s="2"/>
      <c r="DU75" s="2">
        <v>1013</v>
      </c>
      <c r="DV75" s="2" t="s">
        <v>23</v>
      </c>
      <c r="DW75" s="2" t="s">
        <v>23</v>
      </c>
      <c r="DX75" s="2">
        <v>1</v>
      </c>
      <c r="DY75" s="2"/>
      <c r="DZ75" s="2" t="s">
        <v>6</v>
      </c>
      <c r="EA75" s="2" t="s">
        <v>6</v>
      </c>
      <c r="EB75" s="2" t="s">
        <v>6</v>
      </c>
      <c r="EC75" s="2" t="s">
        <v>6</v>
      </c>
      <c r="ED75" s="2"/>
      <c r="EE75" s="2">
        <v>54328990</v>
      </c>
      <c r="EF75" s="2">
        <v>2</v>
      </c>
      <c r="EG75" s="2" t="s">
        <v>25</v>
      </c>
      <c r="EH75" s="2">
        <v>0</v>
      </c>
      <c r="EI75" s="2" t="s">
        <v>6</v>
      </c>
      <c r="EJ75" s="2">
        <v>1</v>
      </c>
      <c r="EK75" s="2">
        <v>15001</v>
      </c>
      <c r="EL75" s="2" t="s">
        <v>26</v>
      </c>
      <c r="EM75" s="2" t="s">
        <v>27</v>
      </c>
      <c r="EN75" s="2"/>
      <c r="EO75" s="2" t="s">
        <v>6</v>
      </c>
      <c r="EP75" s="2"/>
      <c r="EQ75" s="2">
        <v>131072</v>
      </c>
      <c r="ER75" s="2">
        <v>160.84</v>
      </c>
      <c r="ES75" s="2">
        <v>0.36</v>
      </c>
      <c r="ET75" s="2">
        <v>2.1800000000000002</v>
      </c>
      <c r="EU75" s="2">
        <v>0.14000000000000001</v>
      </c>
      <c r="EV75" s="2">
        <v>158.30000000000001</v>
      </c>
      <c r="EW75" s="2">
        <v>16.32</v>
      </c>
      <c r="EX75" s="2">
        <v>0.01</v>
      </c>
      <c r="EY75" s="2">
        <v>1</v>
      </c>
      <c r="EZ75" s="2"/>
      <c r="FA75" s="2"/>
      <c r="FB75" s="2"/>
      <c r="FC75" s="2"/>
      <c r="FD75" s="2"/>
      <c r="FE75" s="2"/>
      <c r="FF75" s="2"/>
      <c r="FG75" s="2"/>
      <c r="FH75" s="2"/>
      <c r="FI75" s="2"/>
      <c r="FJ75" s="2"/>
      <c r="FK75" s="2"/>
      <c r="FL75" s="2"/>
      <c r="FM75" s="2"/>
      <c r="FN75" s="2"/>
      <c r="FO75" s="2"/>
      <c r="FP75" s="2"/>
      <c r="FQ75" s="2">
        <v>0</v>
      </c>
      <c r="FR75" s="2">
        <f t="shared" si="73"/>
        <v>0</v>
      </c>
      <c r="FS75" s="2">
        <v>0</v>
      </c>
      <c r="FT75" s="2"/>
      <c r="FU75" s="2"/>
      <c r="FV75" s="2"/>
      <c r="FW75" s="2"/>
      <c r="FX75" s="2">
        <v>105</v>
      </c>
      <c r="FY75" s="2">
        <v>55</v>
      </c>
      <c r="FZ75" s="2"/>
      <c r="GA75" s="2" t="s">
        <v>6</v>
      </c>
      <c r="GB75" s="2"/>
      <c r="GC75" s="2"/>
      <c r="GD75" s="2">
        <v>1</v>
      </c>
      <c r="GE75" s="2"/>
      <c r="GF75" s="2">
        <v>-1663495828</v>
      </c>
      <c r="GG75" s="2">
        <v>2</v>
      </c>
      <c r="GH75" s="2">
        <v>1</v>
      </c>
      <c r="GI75" s="2">
        <v>-2</v>
      </c>
      <c r="GJ75" s="2">
        <v>0</v>
      </c>
      <c r="GK75" s="2">
        <v>0</v>
      </c>
      <c r="GL75" s="2">
        <f t="shared" si="74"/>
        <v>0</v>
      </c>
      <c r="GM75" s="2">
        <f t="shared" si="75"/>
        <v>1951</v>
      </c>
      <c r="GN75" s="2">
        <f t="shared" si="76"/>
        <v>1951</v>
      </c>
      <c r="GO75" s="2">
        <f t="shared" si="77"/>
        <v>0</v>
      </c>
      <c r="GP75" s="2">
        <f t="shared" si="78"/>
        <v>0</v>
      </c>
      <c r="GQ75" s="2"/>
      <c r="GR75" s="2">
        <v>0</v>
      </c>
      <c r="GS75" s="2">
        <v>3</v>
      </c>
      <c r="GT75" s="2">
        <v>0</v>
      </c>
      <c r="GU75" s="2" t="s">
        <v>6</v>
      </c>
      <c r="GV75" s="2">
        <f t="shared" si="79"/>
        <v>0</v>
      </c>
      <c r="GW75" s="2">
        <v>1</v>
      </c>
      <c r="GX75" s="2">
        <f t="shared" si="80"/>
        <v>0</v>
      </c>
      <c r="GY75" s="2"/>
      <c r="GZ75" s="2"/>
      <c r="HA75" s="2">
        <v>0</v>
      </c>
      <c r="HB75" s="2">
        <v>0</v>
      </c>
      <c r="HC75" s="2">
        <f t="shared" si="81"/>
        <v>0</v>
      </c>
      <c r="HD75" s="2"/>
      <c r="HE75" s="2" t="s">
        <v>6</v>
      </c>
      <c r="HF75" s="2" t="s">
        <v>6</v>
      </c>
      <c r="HG75" s="2"/>
      <c r="HH75" s="2"/>
      <c r="HI75" s="2"/>
      <c r="HJ75" s="2"/>
      <c r="HK75" s="2"/>
      <c r="HL75" s="2"/>
      <c r="HM75" s="2" t="s">
        <v>6</v>
      </c>
      <c r="HN75" s="2" t="s">
        <v>28</v>
      </c>
      <c r="HO75" s="2" t="s">
        <v>29</v>
      </c>
      <c r="HP75" s="2" t="s">
        <v>26</v>
      </c>
      <c r="HQ75" s="2" t="s">
        <v>26</v>
      </c>
      <c r="HR75" s="2"/>
      <c r="HS75" s="2"/>
      <c r="HT75" s="2"/>
      <c r="HU75" s="2"/>
      <c r="HV75" s="2"/>
      <c r="HW75" s="2"/>
      <c r="HX75" s="2"/>
      <c r="HY75" s="2"/>
      <c r="HZ75" s="2"/>
      <c r="IA75" s="2"/>
      <c r="IB75" s="2"/>
      <c r="IC75" s="2"/>
      <c r="ID75" s="2"/>
      <c r="IE75" s="2"/>
      <c r="IF75" s="2">
        <v>-1</v>
      </c>
      <c r="IG75" s="2"/>
      <c r="IH75" s="2"/>
      <c r="II75" s="2"/>
      <c r="IJ75" s="2"/>
      <c r="IK75" s="2">
        <v>0</v>
      </c>
      <c r="IL75" s="2"/>
      <c r="IM75" s="2"/>
      <c r="IN75" s="2"/>
      <c r="IO75" s="2"/>
      <c r="IP75" s="2"/>
      <c r="IQ75" s="2"/>
      <c r="IR75" s="2"/>
      <c r="IS75" s="2"/>
      <c r="IT75" s="2"/>
      <c r="IU75" s="2"/>
    </row>
    <row r="76" spans="1:255" x14ac:dyDescent="0.2">
      <c r="A76">
        <v>17</v>
      </c>
      <c r="B76">
        <v>1</v>
      </c>
      <c r="C76">
        <f>ROW(SmtRes!A102)</f>
        <v>102</v>
      </c>
      <c r="D76">
        <f>ROW(EtalonRes!A102)</f>
        <v>102</v>
      </c>
      <c r="E76" t="s">
        <v>99</v>
      </c>
      <c r="F76" t="s">
        <v>100</v>
      </c>
      <c r="G76" t="s">
        <v>101</v>
      </c>
      <c r="H76" t="s">
        <v>23</v>
      </c>
      <c r="I76">
        <f>'2.Лок.смета.и.Акт'!E35</f>
        <v>4.7140000000000004</v>
      </c>
      <c r="J76">
        <v>0</v>
      </c>
      <c r="K76">
        <v>4.7140000000000004</v>
      </c>
      <c r="O76">
        <f t="shared" si="45"/>
        <v>25950</v>
      </c>
      <c r="P76">
        <f t="shared" si="46"/>
        <v>0</v>
      </c>
      <c r="Q76">
        <f t="shared" si="47"/>
        <v>131</v>
      </c>
      <c r="R76">
        <f t="shared" si="48"/>
        <v>20</v>
      </c>
      <c r="S76">
        <f t="shared" si="49"/>
        <v>25819</v>
      </c>
      <c r="T76">
        <f t="shared" si="50"/>
        <v>0</v>
      </c>
      <c r="U76" t="e">
        <f t="shared" si="51"/>
        <v>#REF!</v>
      </c>
      <c r="V76">
        <f t="shared" si="52"/>
        <v>4.7140000000000008E-2</v>
      </c>
      <c r="W76">
        <f t="shared" si="53"/>
        <v>0</v>
      </c>
      <c r="X76" t="e">
        <f t="shared" si="54"/>
        <v>#REF!</v>
      </c>
      <c r="Y76" t="e">
        <f t="shared" si="55"/>
        <v>#REF!</v>
      </c>
      <c r="AA76">
        <v>74242617</v>
      </c>
      <c r="AB76">
        <f t="shared" si="56"/>
        <v>160.47999999999999</v>
      </c>
      <c r="AC76">
        <f>ROUND((ES76+(SUM(SmtRes!BC97:'SmtRes'!BC102)+SUM(EtalonRes!AL97:'EtalonRes'!AL102))),2)</f>
        <v>0</v>
      </c>
      <c r="AD76">
        <f t="shared" si="86"/>
        <v>2.1800000000000002</v>
      </c>
      <c r="AE76">
        <f t="shared" si="58"/>
        <v>0.14000000000000001</v>
      </c>
      <c r="AF76">
        <f t="shared" si="59"/>
        <v>158.30000000000001</v>
      </c>
      <c r="AG76">
        <f t="shared" si="60"/>
        <v>0</v>
      </c>
      <c r="AH76" t="e">
        <f t="shared" si="61"/>
        <v>#REF!</v>
      </c>
      <c r="AI76">
        <f t="shared" si="62"/>
        <v>0.01</v>
      </c>
      <c r="AJ76">
        <f t="shared" si="63"/>
        <v>0</v>
      </c>
      <c r="AK76">
        <f>AL76+AM76+AO76</f>
        <v>160.84</v>
      </c>
      <c r="AL76">
        <v>0.36</v>
      </c>
      <c r="AM76" s="76">
        <f>'1.Лок.смета.и.Акт'!F153</f>
        <v>2.1800000000000002</v>
      </c>
      <c r="AN76" s="76">
        <f>'1.Лок.смета.и.Акт'!F154</f>
        <v>0.14000000000000001</v>
      </c>
      <c r="AO76" s="76">
        <f>'1.Лок.смета.и.Акт'!F152</f>
        <v>158.30000000000001</v>
      </c>
      <c r="AP76">
        <v>0</v>
      </c>
      <c r="AQ76" t="e">
        <f>'2.Лок.смета.и.Акт'!#REF!</f>
        <v>#REF!</v>
      </c>
      <c r="AR76">
        <v>0.01</v>
      </c>
      <c r="AS76">
        <v>0</v>
      </c>
      <c r="AT76">
        <v>105</v>
      </c>
      <c r="AU76">
        <v>55</v>
      </c>
      <c r="AV76">
        <v>1</v>
      </c>
      <c r="AW76">
        <v>1</v>
      </c>
      <c r="AZ76">
        <v>1</v>
      </c>
      <c r="BA76">
        <f>'1.Лок.смета.и.Акт'!J152</f>
        <v>34.6</v>
      </c>
      <c r="BB76">
        <f>'1.Лок.смета.и.Акт'!J153</f>
        <v>12.77</v>
      </c>
      <c r="BC76">
        <v>7.56</v>
      </c>
      <c r="BD76" t="s">
        <v>6</v>
      </c>
      <c r="BE76" t="s">
        <v>6</v>
      </c>
      <c r="BF76" t="s">
        <v>6</v>
      </c>
      <c r="BG76" t="s">
        <v>6</v>
      </c>
      <c r="BH76">
        <v>0</v>
      </c>
      <c r="BI76">
        <v>1</v>
      </c>
      <c r="BJ76" t="s">
        <v>102</v>
      </c>
      <c r="BM76">
        <v>15001</v>
      </c>
      <c r="BN76">
        <v>0</v>
      </c>
      <c r="BO76" t="s">
        <v>100</v>
      </c>
      <c r="BP76">
        <v>1</v>
      </c>
      <c r="BQ76">
        <v>2</v>
      </c>
      <c r="BR76">
        <v>0</v>
      </c>
      <c r="BS76">
        <f>'1.Лок.смета.и.Акт'!J154</f>
        <v>30.1</v>
      </c>
      <c r="BT76">
        <v>1</v>
      </c>
      <c r="BU76">
        <v>1</v>
      </c>
      <c r="BV76">
        <v>1</v>
      </c>
      <c r="BW76">
        <v>1</v>
      </c>
      <c r="BX76">
        <v>1</v>
      </c>
      <c r="BY76" t="s">
        <v>6</v>
      </c>
      <c r="BZ76" t="e">
        <f>'2.Лок.смета.и.Акт'!#REF!</f>
        <v>#REF!</v>
      </c>
      <c r="CA76" t="e">
        <f>'2.Лок.смета.и.Акт'!#REF!</f>
        <v>#REF!</v>
      </c>
      <c r="CB76" t="s">
        <v>6</v>
      </c>
      <c r="CE76">
        <v>0</v>
      </c>
      <c r="CF76">
        <v>0</v>
      </c>
      <c r="CG76">
        <v>0</v>
      </c>
      <c r="CM76">
        <v>0</v>
      </c>
      <c r="CN76" t="s">
        <v>6</v>
      </c>
      <c r="CO76">
        <v>0</v>
      </c>
      <c r="CP76">
        <f t="shared" si="64"/>
        <v>25950</v>
      </c>
      <c r="CQ76">
        <f t="shared" si="65"/>
        <v>0</v>
      </c>
      <c r="CR76">
        <f t="shared" si="66"/>
        <v>27.8386</v>
      </c>
      <c r="CS76">
        <f t="shared" si="67"/>
        <v>4.2140000000000004</v>
      </c>
      <c r="CT76">
        <f t="shared" si="68"/>
        <v>5477.18</v>
      </c>
      <c r="CU76">
        <f t="shared" si="69"/>
        <v>0</v>
      </c>
      <c r="CV76" t="e">
        <f t="shared" si="70"/>
        <v>#REF!</v>
      </c>
      <c r="CW76">
        <f t="shared" si="71"/>
        <v>0.01</v>
      </c>
      <c r="CX76">
        <f t="shared" si="72"/>
        <v>0</v>
      </c>
      <c r="CY76" t="e">
        <f>(S76+R76)*(BZ76/100)</f>
        <v>#REF!</v>
      </c>
      <c r="CZ76" t="e">
        <f>(S76+R76)*(CA76/100)</f>
        <v>#REF!</v>
      </c>
      <c r="DC76" t="s">
        <v>6</v>
      </c>
      <c r="DD76" t="s">
        <v>6</v>
      </c>
      <c r="DE76" t="s">
        <v>6</v>
      </c>
      <c r="DF76" t="s">
        <v>6</v>
      </c>
      <c r="DG76" t="s">
        <v>6</v>
      </c>
      <c r="DH76" t="s">
        <v>6</v>
      </c>
      <c r="DI76" t="s">
        <v>6</v>
      </c>
      <c r="DJ76" t="s">
        <v>6</v>
      </c>
      <c r="DK76" t="s">
        <v>6</v>
      </c>
      <c r="DL76" t="s">
        <v>6</v>
      </c>
      <c r="DM76" t="s">
        <v>6</v>
      </c>
      <c r="DN76">
        <f>'1.Лок.смета.и.Акт'!E155</f>
        <v>105</v>
      </c>
      <c r="DO76">
        <f>'1.Лок.смета.и.Акт'!E156</f>
        <v>55</v>
      </c>
      <c r="DP76">
        <v>1</v>
      </c>
      <c r="DQ76">
        <v>1</v>
      </c>
      <c r="DU76">
        <v>1013</v>
      </c>
      <c r="DV76" t="s">
        <v>23</v>
      </c>
      <c r="DW76" t="str">
        <f>'2.Лок.смета.и.Акт'!D35</f>
        <v>100 м2 покрытия</v>
      </c>
      <c r="DX76">
        <v>1</v>
      </c>
      <c r="DZ76" t="s">
        <v>6</v>
      </c>
      <c r="EA76" t="s">
        <v>6</v>
      </c>
      <c r="EB76" t="s">
        <v>6</v>
      </c>
      <c r="EC76" t="s">
        <v>6</v>
      </c>
      <c r="EE76">
        <v>54328990</v>
      </c>
      <c r="EF76">
        <v>2</v>
      </c>
      <c r="EG76" t="s">
        <v>25</v>
      </c>
      <c r="EH76">
        <v>0</v>
      </c>
      <c r="EI76" t="s">
        <v>6</v>
      </c>
      <c r="EJ76">
        <v>1</v>
      </c>
      <c r="EK76">
        <v>15001</v>
      </c>
      <c r="EL76" t="s">
        <v>26</v>
      </c>
      <c r="EM76" t="s">
        <v>27</v>
      </c>
      <c r="EO76" t="s">
        <v>6</v>
      </c>
      <c r="EQ76">
        <v>131072</v>
      </c>
      <c r="ER76">
        <f>ES76+ET76+EV76</f>
        <v>160.84</v>
      </c>
      <c r="ES76">
        <v>0.36</v>
      </c>
      <c r="ET76" s="76">
        <f>'1.Лок.смета.и.Акт'!F153</f>
        <v>2.1800000000000002</v>
      </c>
      <c r="EU76" s="76">
        <f>'1.Лок.смета.и.Акт'!F154</f>
        <v>0.14000000000000001</v>
      </c>
      <c r="EV76" s="76">
        <f>'1.Лок.смета.и.Акт'!F152</f>
        <v>158.30000000000001</v>
      </c>
      <c r="EW76" t="e">
        <f>'2.Лок.смета.и.Акт'!#REF!</f>
        <v>#REF!</v>
      </c>
      <c r="EX76">
        <v>0.01</v>
      </c>
      <c r="EY76">
        <v>1</v>
      </c>
      <c r="FQ76">
        <v>0</v>
      </c>
      <c r="FR76">
        <f t="shared" si="73"/>
        <v>0</v>
      </c>
      <c r="FS76">
        <v>0</v>
      </c>
      <c r="FX76">
        <v>105</v>
      </c>
      <c r="FY76">
        <v>55</v>
      </c>
      <c r="GA76" t="s">
        <v>6</v>
      </c>
      <c r="GD76">
        <v>1</v>
      </c>
      <c r="GF76">
        <v>-1663495828</v>
      </c>
      <c r="GG76">
        <v>2</v>
      </c>
      <c r="GH76">
        <v>1</v>
      </c>
      <c r="GI76">
        <v>2</v>
      </c>
      <c r="GJ76">
        <v>0</v>
      </c>
      <c r="GK76">
        <v>0</v>
      </c>
      <c r="GL76">
        <f t="shared" si="74"/>
        <v>0</v>
      </c>
      <c r="GM76" t="e">
        <f t="shared" si="75"/>
        <v>#REF!</v>
      </c>
      <c r="GN76" t="e">
        <f t="shared" si="76"/>
        <v>#REF!</v>
      </c>
      <c r="GO76">
        <f t="shared" si="77"/>
        <v>0</v>
      </c>
      <c r="GP76">
        <f t="shared" si="78"/>
        <v>0</v>
      </c>
      <c r="GR76">
        <v>0</v>
      </c>
      <c r="GS76">
        <v>3</v>
      </c>
      <c r="GT76">
        <v>0</v>
      </c>
      <c r="GU76" t="s">
        <v>6</v>
      </c>
      <c r="GV76">
        <f t="shared" si="79"/>
        <v>0</v>
      </c>
      <c r="GW76">
        <v>1009.4</v>
      </c>
      <c r="GX76">
        <f t="shared" si="80"/>
        <v>0</v>
      </c>
      <c r="HA76">
        <v>0</v>
      </c>
      <c r="HB76">
        <v>0</v>
      </c>
      <c r="HC76">
        <f t="shared" si="81"/>
        <v>0</v>
      </c>
      <c r="HE76" t="s">
        <v>6</v>
      </c>
      <c r="HF76" t="s">
        <v>6</v>
      </c>
      <c r="HM76" t="s">
        <v>6</v>
      </c>
      <c r="HN76" t="s">
        <v>28</v>
      </c>
      <c r="HO76" t="s">
        <v>29</v>
      </c>
      <c r="HP76" t="s">
        <v>26</v>
      </c>
      <c r="HQ76" t="s">
        <v>26</v>
      </c>
      <c r="IF76">
        <v>-1</v>
      </c>
      <c r="IK76">
        <v>0</v>
      </c>
    </row>
    <row r="77" spans="1:255" x14ac:dyDescent="0.2">
      <c r="A77" s="2">
        <v>18</v>
      </c>
      <c r="B77" s="2">
        <v>1</v>
      </c>
      <c r="C77" s="2">
        <v>95</v>
      </c>
      <c r="D77" s="2"/>
      <c r="E77" s="2" t="s">
        <v>103</v>
      </c>
      <c r="F77" s="2" t="s">
        <v>31</v>
      </c>
      <c r="G77" s="2" t="s">
        <v>32</v>
      </c>
      <c r="H77" s="2" t="s">
        <v>33</v>
      </c>
      <c r="I77" s="2">
        <f>I75*J77</f>
        <v>0.94279999999999997</v>
      </c>
      <c r="J77" s="207">
        <f>'5.Ведомость_списания'!F54</f>
        <v>0.19999999999999998</v>
      </c>
      <c r="K77" s="2">
        <v>0.2</v>
      </c>
      <c r="L77" s="2"/>
      <c r="M77" s="2"/>
      <c r="N77" s="2"/>
      <c r="O77" s="2">
        <f t="shared" si="45"/>
        <v>2</v>
      </c>
      <c r="P77" s="2">
        <f t="shared" si="46"/>
        <v>2</v>
      </c>
      <c r="Q77" s="2">
        <f t="shared" si="47"/>
        <v>0</v>
      </c>
      <c r="R77" s="2">
        <f t="shared" si="48"/>
        <v>0</v>
      </c>
      <c r="S77" s="2">
        <f t="shared" si="49"/>
        <v>0</v>
      </c>
      <c r="T77" s="2">
        <f t="shared" si="50"/>
        <v>0</v>
      </c>
      <c r="U77" s="2">
        <f t="shared" si="51"/>
        <v>0</v>
      </c>
      <c r="V77" s="2">
        <f t="shared" si="52"/>
        <v>0</v>
      </c>
      <c r="W77" s="2">
        <f t="shared" si="53"/>
        <v>0</v>
      </c>
      <c r="X77" s="2">
        <f t="shared" si="54"/>
        <v>0</v>
      </c>
      <c r="Y77" s="2">
        <f t="shared" si="55"/>
        <v>0</v>
      </c>
      <c r="Z77" s="2"/>
      <c r="AA77" s="2">
        <v>74242616</v>
      </c>
      <c r="AB77" s="2">
        <f t="shared" si="56"/>
        <v>1.82</v>
      </c>
      <c r="AC77" s="2">
        <f>ROUND((ES77),2)</f>
        <v>1.82</v>
      </c>
      <c r="AD77" s="2">
        <f t="shared" si="86"/>
        <v>0</v>
      </c>
      <c r="AE77" s="2">
        <f t="shared" si="58"/>
        <v>0</v>
      </c>
      <c r="AF77" s="2">
        <f t="shared" si="59"/>
        <v>0</v>
      </c>
      <c r="AG77" s="2">
        <f t="shared" si="60"/>
        <v>0</v>
      </c>
      <c r="AH77" s="2">
        <f t="shared" si="61"/>
        <v>0</v>
      </c>
      <c r="AI77" s="2">
        <f t="shared" si="62"/>
        <v>0</v>
      </c>
      <c r="AJ77" s="2">
        <f t="shared" si="63"/>
        <v>0</v>
      </c>
      <c r="AK77" s="2">
        <v>1.82</v>
      </c>
      <c r="AL77" s="111">
        <f>'1.Лок.смета.и.Акт'!F158</f>
        <v>1.82</v>
      </c>
      <c r="AM77" s="2">
        <v>0</v>
      </c>
      <c r="AN77" s="2">
        <v>0</v>
      </c>
      <c r="AO77" s="2">
        <v>0</v>
      </c>
      <c r="AP77" s="2">
        <v>0</v>
      </c>
      <c r="AQ77" s="2">
        <v>0</v>
      </c>
      <c r="AR77" s="2">
        <v>0</v>
      </c>
      <c r="AS77" s="2">
        <v>0</v>
      </c>
      <c r="AT77" s="2">
        <v>0</v>
      </c>
      <c r="AU77" s="2">
        <v>0</v>
      </c>
      <c r="AV77" s="2">
        <v>1</v>
      </c>
      <c r="AW77" s="2">
        <v>1</v>
      </c>
      <c r="AX77" s="2"/>
      <c r="AY77" s="2"/>
      <c r="AZ77" s="2">
        <v>1</v>
      </c>
      <c r="BA77" s="2">
        <v>1</v>
      </c>
      <c r="BB77" s="2">
        <v>1</v>
      </c>
      <c r="BC77" s="2">
        <v>1</v>
      </c>
      <c r="BD77" s="2" t="s">
        <v>6</v>
      </c>
      <c r="BE77" s="2" t="s">
        <v>6</v>
      </c>
      <c r="BF77" s="2" t="s">
        <v>6</v>
      </c>
      <c r="BG77" s="2" t="s">
        <v>6</v>
      </c>
      <c r="BH77" s="2">
        <v>3</v>
      </c>
      <c r="BI77" s="2">
        <v>1</v>
      </c>
      <c r="BJ77" s="2" t="s">
        <v>34</v>
      </c>
      <c r="BK77" s="2"/>
      <c r="BL77" s="2"/>
      <c r="BM77" s="2">
        <v>500001</v>
      </c>
      <c r="BN77" s="2">
        <v>0</v>
      </c>
      <c r="BO77" s="2" t="s">
        <v>6</v>
      </c>
      <c r="BP77" s="2">
        <v>0</v>
      </c>
      <c r="BQ77" s="2">
        <v>8</v>
      </c>
      <c r="BR77" s="2">
        <v>0</v>
      </c>
      <c r="BS77" s="2">
        <v>1</v>
      </c>
      <c r="BT77" s="2">
        <v>1</v>
      </c>
      <c r="BU77" s="2">
        <v>1</v>
      </c>
      <c r="BV77" s="2">
        <v>1</v>
      </c>
      <c r="BW77" s="2">
        <v>1</v>
      </c>
      <c r="BX77" s="2">
        <v>1</v>
      </c>
      <c r="BY77" s="2" t="s">
        <v>6</v>
      </c>
      <c r="BZ77" s="2">
        <v>0</v>
      </c>
      <c r="CA77" s="2">
        <v>0</v>
      </c>
      <c r="CB77" s="2" t="s">
        <v>6</v>
      </c>
      <c r="CC77" s="2"/>
      <c r="CD77" s="2"/>
      <c r="CE77" s="2">
        <v>0</v>
      </c>
      <c r="CF77" s="2">
        <v>0</v>
      </c>
      <c r="CG77" s="2">
        <v>0</v>
      </c>
      <c r="CH77" s="2"/>
      <c r="CI77" s="2"/>
      <c r="CJ77" s="2"/>
      <c r="CK77" s="2"/>
      <c r="CL77" s="2"/>
      <c r="CM77" s="2">
        <v>0</v>
      </c>
      <c r="CN77" s="2" t="s">
        <v>6</v>
      </c>
      <c r="CO77" s="2">
        <v>0</v>
      </c>
      <c r="CP77" s="2">
        <f t="shared" si="64"/>
        <v>2</v>
      </c>
      <c r="CQ77" s="2">
        <f t="shared" si="65"/>
        <v>1.82</v>
      </c>
      <c r="CR77" s="2">
        <f t="shared" si="66"/>
        <v>0</v>
      </c>
      <c r="CS77" s="2">
        <f t="shared" si="67"/>
        <v>0</v>
      </c>
      <c r="CT77" s="2">
        <f t="shared" si="68"/>
        <v>0</v>
      </c>
      <c r="CU77" s="2">
        <f t="shared" si="69"/>
        <v>0</v>
      </c>
      <c r="CV77" s="2">
        <f t="shared" si="70"/>
        <v>0</v>
      </c>
      <c r="CW77" s="2">
        <f t="shared" si="71"/>
        <v>0</v>
      </c>
      <c r="CX77" s="2">
        <f t="shared" si="72"/>
        <v>0</v>
      </c>
      <c r="CY77" s="2">
        <f>(((S77+R77)*AT77)/100)</f>
        <v>0</v>
      </c>
      <c r="CZ77" s="2">
        <f>(((S77+R77)*AU77)/100)</f>
        <v>0</v>
      </c>
      <c r="DA77" s="2"/>
      <c r="DB77" s="2"/>
      <c r="DC77" s="2" t="s">
        <v>6</v>
      </c>
      <c r="DD77" s="2" t="s">
        <v>6</v>
      </c>
      <c r="DE77" s="2" t="s">
        <v>6</v>
      </c>
      <c r="DF77" s="2" t="s">
        <v>6</v>
      </c>
      <c r="DG77" s="2" t="s">
        <v>6</v>
      </c>
      <c r="DH77" s="2" t="s">
        <v>6</v>
      </c>
      <c r="DI77" s="2" t="s">
        <v>6</v>
      </c>
      <c r="DJ77" s="2" t="s">
        <v>6</v>
      </c>
      <c r="DK77" s="2" t="s">
        <v>6</v>
      </c>
      <c r="DL77" s="2" t="s">
        <v>6</v>
      </c>
      <c r="DM77" s="2" t="s">
        <v>6</v>
      </c>
      <c r="DN77" s="2">
        <v>0</v>
      </c>
      <c r="DO77" s="2">
        <v>0</v>
      </c>
      <c r="DP77" s="2">
        <v>1</v>
      </c>
      <c r="DQ77" s="2">
        <v>1</v>
      </c>
      <c r="DR77" s="2"/>
      <c r="DS77" s="2"/>
      <c r="DT77" s="2"/>
      <c r="DU77" s="2">
        <v>1009</v>
      </c>
      <c r="DV77" s="2" t="s">
        <v>33</v>
      </c>
      <c r="DW77" s="2" t="s">
        <v>33</v>
      </c>
      <c r="DX77" s="2">
        <v>1</v>
      </c>
      <c r="DY77" s="2"/>
      <c r="DZ77" s="2" t="s">
        <v>6</v>
      </c>
      <c r="EA77" s="2" t="s">
        <v>6</v>
      </c>
      <c r="EB77" s="2" t="s">
        <v>6</v>
      </c>
      <c r="EC77" s="2" t="s">
        <v>6</v>
      </c>
      <c r="ED77" s="2"/>
      <c r="EE77" s="2">
        <v>54328897</v>
      </c>
      <c r="EF77" s="2">
        <v>8</v>
      </c>
      <c r="EG77" s="2" t="s">
        <v>35</v>
      </c>
      <c r="EH77" s="2">
        <v>0</v>
      </c>
      <c r="EI77" s="2" t="s">
        <v>6</v>
      </c>
      <c r="EJ77" s="2">
        <v>1</v>
      </c>
      <c r="EK77" s="2">
        <v>500001</v>
      </c>
      <c r="EL77" s="2" t="s">
        <v>36</v>
      </c>
      <c r="EM77" s="2" t="s">
        <v>37</v>
      </c>
      <c r="EN77" s="2"/>
      <c r="EO77" s="2" t="s">
        <v>6</v>
      </c>
      <c r="EP77" s="2"/>
      <c r="EQ77" s="2">
        <v>0</v>
      </c>
      <c r="ER77" s="2">
        <v>1.82</v>
      </c>
      <c r="ES77" s="111">
        <f>'1.Лок.смета.и.Акт'!F158</f>
        <v>1.82</v>
      </c>
      <c r="ET77" s="2">
        <v>0</v>
      </c>
      <c r="EU77" s="2">
        <v>0</v>
      </c>
      <c r="EV77" s="2">
        <v>0</v>
      </c>
      <c r="EW77" s="2">
        <v>0</v>
      </c>
      <c r="EX77" s="2">
        <v>0</v>
      </c>
      <c r="EY77" s="2"/>
      <c r="EZ77" s="2"/>
      <c r="FA77" s="2"/>
      <c r="FB77" s="2"/>
      <c r="FC77" s="2"/>
      <c r="FD77" s="2"/>
      <c r="FE77" s="2"/>
      <c r="FF77" s="2"/>
      <c r="FG77" s="2"/>
      <c r="FH77" s="2"/>
      <c r="FI77" s="2"/>
      <c r="FJ77" s="2"/>
      <c r="FK77" s="2"/>
      <c r="FL77" s="2"/>
      <c r="FM77" s="2"/>
      <c r="FN77" s="2"/>
      <c r="FO77" s="2"/>
      <c r="FP77" s="2"/>
      <c r="FQ77" s="2">
        <v>0</v>
      </c>
      <c r="FR77" s="2">
        <f t="shared" si="73"/>
        <v>0</v>
      </c>
      <c r="FS77" s="2">
        <v>0</v>
      </c>
      <c r="FT77" s="2"/>
      <c r="FU77" s="2"/>
      <c r="FV77" s="2"/>
      <c r="FW77" s="2"/>
      <c r="FX77" s="2">
        <v>0</v>
      </c>
      <c r="FY77" s="2">
        <v>0</v>
      </c>
      <c r="FZ77" s="2"/>
      <c r="GA77" s="2" t="s">
        <v>6</v>
      </c>
      <c r="GB77" s="2"/>
      <c r="GC77" s="2"/>
      <c r="GD77" s="2">
        <v>1</v>
      </c>
      <c r="GE77" s="2"/>
      <c r="GF77" s="2">
        <v>-386994921</v>
      </c>
      <c r="GG77" s="2">
        <v>2</v>
      </c>
      <c r="GH77" s="2">
        <v>0</v>
      </c>
      <c r="GI77" s="2">
        <v>-2</v>
      </c>
      <c r="GJ77" s="2">
        <v>0</v>
      </c>
      <c r="GK77" s="2">
        <v>0</v>
      </c>
      <c r="GL77" s="2">
        <f t="shared" si="74"/>
        <v>0</v>
      </c>
      <c r="GM77" s="2">
        <f t="shared" si="75"/>
        <v>2</v>
      </c>
      <c r="GN77" s="2">
        <f t="shared" si="76"/>
        <v>2</v>
      </c>
      <c r="GO77" s="2">
        <f t="shared" si="77"/>
        <v>0</v>
      </c>
      <c r="GP77" s="2">
        <f t="shared" si="78"/>
        <v>0</v>
      </c>
      <c r="GQ77" s="2"/>
      <c r="GR77" s="2">
        <v>0</v>
      </c>
      <c r="GS77" s="2">
        <v>3</v>
      </c>
      <c r="GT77" s="2">
        <v>0</v>
      </c>
      <c r="GU77" s="2" t="s">
        <v>6</v>
      </c>
      <c r="GV77" s="2">
        <f t="shared" si="79"/>
        <v>0</v>
      </c>
      <c r="GW77" s="2">
        <v>1</v>
      </c>
      <c r="GX77" s="2">
        <f t="shared" si="80"/>
        <v>0</v>
      </c>
      <c r="GY77" s="2"/>
      <c r="GZ77" s="2"/>
      <c r="HA77" s="2">
        <v>0</v>
      </c>
      <c r="HB77" s="2">
        <v>0</v>
      </c>
      <c r="HC77" s="2">
        <f t="shared" si="81"/>
        <v>0</v>
      </c>
      <c r="HD77" s="2"/>
      <c r="HE77" s="2" t="s">
        <v>6</v>
      </c>
      <c r="HF77" s="2" t="s">
        <v>6</v>
      </c>
      <c r="HG77" s="2"/>
      <c r="HH77" s="2"/>
      <c r="HI77" s="2"/>
      <c r="HJ77" s="2"/>
      <c r="HK77" s="2"/>
      <c r="HL77" s="2"/>
      <c r="HM77" s="2" t="s">
        <v>6</v>
      </c>
      <c r="HN77" s="2" t="s">
        <v>6</v>
      </c>
      <c r="HO77" s="2" t="s">
        <v>6</v>
      </c>
      <c r="HP77" s="2" t="s">
        <v>6</v>
      </c>
      <c r="HQ77" s="2" t="s">
        <v>6</v>
      </c>
      <c r="HR77" s="2"/>
      <c r="HS77" s="2"/>
      <c r="HT77" s="2"/>
      <c r="HU77" s="2"/>
      <c r="HV77" s="2"/>
      <c r="HW77" s="2"/>
      <c r="HX77" s="2"/>
      <c r="HY77" s="2"/>
      <c r="HZ77" s="2"/>
      <c r="IA77" s="2"/>
      <c r="IB77" s="2"/>
      <c r="IC77" s="2"/>
      <c r="ID77" s="2"/>
      <c r="IE77" s="2"/>
      <c r="IF77" s="2">
        <v>-1</v>
      </c>
      <c r="IG77" s="2"/>
      <c r="IH77" s="2"/>
      <c r="II77" s="2"/>
      <c r="IJ77" s="2"/>
      <c r="IK77" s="2">
        <v>0</v>
      </c>
      <c r="IL77" s="2"/>
      <c r="IM77" s="2"/>
      <c r="IN77" s="2"/>
      <c r="IO77" s="2"/>
      <c r="IP77" s="2"/>
      <c r="IQ77" s="2"/>
      <c r="IR77" s="2"/>
      <c r="IS77" s="2"/>
      <c r="IT77" s="2"/>
      <c r="IU77" s="2"/>
    </row>
    <row r="78" spans="1:255" x14ac:dyDescent="0.2">
      <c r="A78">
        <v>18</v>
      </c>
      <c r="B78">
        <v>1</v>
      </c>
      <c r="C78">
        <v>101</v>
      </c>
      <c r="E78" t="s">
        <v>103</v>
      </c>
      <c r="F78" t="e">
        <f>'2.Лок.смета.и.Акт'!#REF!</f>
        <v>#REF!</v>
      </c>
      <c r="G78" t="s">
        <v>32</v>
      </c>
      <c r="H78" t="s">
        <v>33</v>
      </c>
      <c r="I78">
        <f>I76*J78</f>
        <v>0.94279999999999997</v>
      </c>
      <c r="J78">
        <v>0.19999999999999998</v>
      </c>
      <c r="K78">
        <v>0.2</v>
      </c>
      <c r="O78">
        <f t="shared" si="45"/>
        <v>31</v>
      </c>
      <c r="P78">
        <f t="shared" si="46"/>
        <v>31</v>
      </c>
      <c r="Q78">
        <f t="shared" si="47"/>
        <v>0</v>
      </c>
      <c r="R78">
        <f t="shared" si="48"/>
        <v>0</v>
      </c>
      <c r="S78">
        <f t="shared" si="49"/>
        <v>0</v>
      </c>
      <c r="T78">
        <f t="shared" si="50"/>
        <v>0</v>
      </c>
      <c r="U78">
        <f t="shared" si="51"/>
        <v>0</v>
      </c>
      <c r="V78">
        <f t="shared" si="52"/>
        <v>0</v>
      </c>
      <c r="W78">
        <f t="shared" si="53"/>
        <v>0</v>
      </c>
      <c r="X78">
        <f t="shared" si="54"/>
        <v>0</v>
      </c>
      <c r="Y78">
        <f t="shared" si="55"/>
        <v>0</v>
      </c>
      <c r="AA78">
        <v>74242617</v>
      </c>
      <c r="AB78">
        <f t="shared" si="56"/>
        <v>4.28</v>
      </c>
      <c r="AC78">
        <f>ROUND((ES78),2)</f>
        <v>4.28</v>
      </c>
      <c r="AD78">
        <f t="shared" si="86"/>
        <v>0</v>
      </c>
      <c r="AE78">
        <f t="shared" si="58"/>
        <v>0</v>
      </c>
      <c r="AF78">
        <f t="shared" si="59"/>
        <v>0</v>
      </c>
      <c r="AG78">
        <f t="shared" si="60"/>
        <v>0</v>
      </c>
      <c r="AH78">
        <f t="shared" si="61"/>
        <v>0</v>
      </c>
      <c r="AI78">
        <f t="shared" si="62"/>
        <v>0</v>
      </c>
      <c r="AJ78">
        <f t="shared" si="63"/>
        <v>0</v>
      </c>
      <c r="AK78">
        <v>4.2799999999999994</v>
      </c>
      <c r="AL78">
        <v>4.2799999999999994</v>
      </c>
      <c r="AM78">
        <v>0</v>
      </c>
      <c r="AN78">
        <v>0</v>
      </c>
      <c r="AO78">
        <v>0</v>
      </c>
      <c r="AP78">
        <v>0</v>
      </c>
      <c r="AQ78">
        <v>0</v>
      </c>
      <c r="AR78">
        <v>0</v>
      </c>
      <c r="AS78">
        <v>0</v>
      </c>
      <c r="AT78">
        <v>0</v>
      </c>
      <c r="AU78">
        <v>0</v>
      </c>
      <c r="AV78">
        <v>1</v>
      </c>
      <c r="AW78">
        <v>1</v>
      </c>
      <c r="AZ78">
        <v>1</v>
      </c>
      <c r="BA78">
        <v>1</v>
      </c>
      <c r="BB78">
        <v>1</v>
      </c>
      <c r="BC78">
        <v>7.56</v>
      </c>
      <c r="BD78" t="s">
        <v>6</v>
      </c>
      <c r="BE78" t="s">
        <v>6</v>
      </c>
      <c r="BF78" t="s">
        <v>6</v>
      </c>
      <c r="BG78" t="s">
        <v>6</v>
      </c>
      <c r="BH78">
        <v>3</v>
      </c>
      <c r="BI78">
        <v>1</v>
      </c>
      <c r="BJ78" t="s">
        <v>34</v>
      </c>
      <c r="BM78">
        <v>500001</v>
      </c>
      <c r="BN78">
        <v>0</v>
      </c>
      <c r="BO78" t="s">
        <v>6</v>
      </c>
      <c r="BP78">
        <v>0</v>
      </c>
      <c r="BQ78">
        <v>8</v>
      </c>
      <c r="BR78">
        <v>0</v>
      </c>
      <c r="BS78">
        <v>1</v>
      </c>
      <c r="BT78">
        <v>1</v>
      </c>
      <c r="BU78">
        <v>1</v>
      </c>
      <c r="BV78">
        <v>1</v>
      </c>
      <c r="BW78">
        <v>1</v>
      </c>
      <c r="BX78">
        <v>1</v>
      </c>
      <c r="BY78" t="s">
        <v>6</v>
      </c>
      <c r="BZ78">
        <v>0</v>
      </c>
      <c r="CA78">
        <v>0</v>
      </c>
      <c r="CB78" t="s">
        <v>6</v>
      </c>
      <c r="CE78">
        <v>0</v>
      </c>
      <c r="CF78">
        <v>0</v>
      </c>
      <c r="CG78">
        <v>0</v>
      </c>
      <c r="CM78">
        <v>0</v>
      </c>
      <c r="CN78" t="s">
        <v>6</v>
      </c>
      <c r="CO78">
        <v>0</v>
      </c>
      <c r="CP78">
        <f t="shared" si="64"/>
        <v>31</v>
      </c>
      <c r="CQ78">
        <f t="shared" si="65"/>
        <v>32.3568</v>
      </c>
      <c r="CR78">
        <f t="shared" si="66"/>
        <v>0</v>
      </c>
      <c r="CS78">
        <f t="shared" si="67"/>
        <v>0</v>
      </c>
      <c r="CT78">
        <f t="shared" si="68"/>
        <v>0</v>
      </c>
      <c r="CU78">
        <f t="shared" si="69"/>
        <v>0</v>
      </c>
      <c r="CV78">
        <f t="shared" si="70"/>
        <v>0</v>
      </c>
      <c r="CW78">
        <f t="shared" si="71"/>
        <v>0</v>
      </c>
      <c r="CX78">
        <f t="shared" si="72"/>
        <v>0</v>
      </c>
      <c r="CY78">
        <f>(S78+R78)*(BZ78/100)</f>
        <v>0</v>
      </c>
      <c r="CZ78">
        <f>(S78+R78)*(CA78/100)</f>
        <v>0</v>
      </c>
      <c r="DC78" t="s">
        <v>6</v>
      </c>
      <c r="DD78" t="s">
        <v>6</v>
      </c>
      <c r="DE78" t="s">
        <v>6</v>
      </c>
      <c r="DF78" t="s">
        <v>6</v>
      </c>
      <c r="DG78" t="s">
        <v>6</v>
      </c>
      <c r="DH78" t="s">
        <v>6</v>
      </c>
      <c r="DI78" t="s">
        <v>6</v>
      </c>
      <c r="DJ78" t="s">
        <v>6</v>
      </c>
      <c r="DK78" t="s">
        <v>6</v>
      </c>
      <c r="DL78" t="s">
        <v>6</v>
      </c>
      <c r="DM78" t="s">
        <v>6</v>
      </c>
      <c r="DN78">
        <v>0</v>
      </c>
      <c r="DO78">
        <v>0</v>
      </c>
      <c r="DP78">
        <v>1</v>
      </c>
      <c r="DQ78">
        <v>1</v>
      </c>
      <c r="DU78">
        <v>1009</v>
      </c>
      <c r="DV78" t="s">
        <v>33</v>
      </c>
      <c r="DW78" t="e">
        <f>'2.Лок.смета.и.Акт'!#REF!</f>
        <v>#REF!</v>
      </c>
      <c r="DX78">
        <v>1</v>
      </c>
      <c r="DZ78" t="s">
        <v>6</v>
      </c>
      <c r="EA78" t="s">
        <v>6</v>
      </c>
      <c r="EB78" t="s">
        <v>6</v>
      </c>
      <c r="EC78" t="s">
        <v>6</v>
      </c>
      <c r="EE78">
        <v>54328897</v>
      </c>
      <c r="EF78">
        <v>8</v>
      </c>
      <c r="EG78" t="s">
        <v>35</v>
      </c>
      <c r="EH78">
        <v>0</v>
      </c>
      <c r="EI78" t="s">
        <v>6</v>
      </c>
      <c r="EJ78">
        <v>1</v>
      </c>
      <c r="EK78">
        <v>500001</v>
      </c>
      <c r="EL78" t="s">
        <v>36</v>
      </c>
      <c r="EM78" t="s">
        <v>37</v>
      </c>
      <c r="EO78" t="s">
        <v>6</v>
      </c>
      <c r="EQ78">
        <v>0</v>
      </c>
      <c r="ER78">
        <v>31</v>
      </c>
      <c r="ES78">
        <v>4.2799999999999994</v>
      </c>
      <c r="ET78">
        <v>0</v>
      </c>
      <c r="EU78">
        <v>0</v>
      </c>
      <c r="EV78">
        <v>0</v>
      </c>
      <c r="EW78">
        <v>0</v>
      </c>
      <c r="EX78">
        <v>0</v>
      </c>
      <c r="EZ78">
        <v>5</v>
      </c>
      <c r="FC78">
        <v>0</v>
      </c>
      <c r="FD78">
        <v>18</v>
      </c>
      <c r="FF78">
        <v>31</v>
      </c>
      <c r="FQ78">
        <v>0</v>
      </c>
      <c r="FR78">
        <f t="shared" si="73"/>
        <v>0</v>
      </c>
      <c r="FS78">
        <v>0</v>
      </c>
      <c r="FX78">
        <v>0</v>
      </c>
      <c r="FY78">
        <v>0</v>
      </c>
      <c r="GA78" t="s">
        <v>38</v>
      </c>
      <c r="GD78">
        <v>1</v>
      </c>
      <c r="GF78">
        <v>-386994921</v>
      </c>
      <c r="GG78">
        <v>2</v>
      </c>
      <c r="GH78">
        <v>3</v>
      </c>
      <c r="GI78">
        <v>5</v>
      </c>
      <c r="GJ78">
        <v>0</v>
      </c>
      <c r="GK78">
        <v>0</v>
      </c>
      <c r="GL78">
        <f t="shared" si="74"/>
        <v>0</v>
      </c>
      <c r="GM78">
        <f t="shared" si="75"/>
        <v>31</v>
      </c>
      <c r="GN78">
        <f t="shared" si="76"/>
        <v>31</v>
      </c>
      <c r="GO78">
        <f t="shared" si="77"/>
        <v>0</v>
      </c>
      <c r="GP78">
        <f t="shared" si="78"/>
        <v>0</v>
      </c>
      <c r="GR78">
        <v>1</v>
      </c>
      <c r="GS78">
        <v>1</v>
      </c>
      <c r="GT78">
        <v>0</v>
      </c>
      <c r="GU78" t="s">
        <v>6</v>
      </c>
      <c r="GV78">
        <f t="shared" si="79"/>
        <v>0</v>
      </c>
      <c r="GW78">
        <v>1</v>
      </c>
      <c r="GX78">
        <f t="shared" si="80"/>
        <v>0</v>
      </c>
      <c r="HA78">
        <v>0</v>
      </c>
      <c r="HB78">
        <v>0</v>
      </c>
      <c r="HC78">
        <f t="shared" si="81"/>
        <v>0</v>
      </c>
      <c r="HE78" t="s">
        <v>39</v>
      </c>
      <c r="HF78" t="s">
        <v>40</v>
      </c>
      <c r="HM78" t="s">
        <v>6</v>
      </c>
      <c r="HN78" t="s">
        <v>6</v>
      </c>
      <c r="HO78" t="s">
        <v>6</v>
      </c>
      <c r="HP78" t="s">
        <v>6</v>
      </c>
      <c r="HQ78" t="s">
        <v>6</v>
      </c>
      <c r="IF78">
        <v>-1</v>
      </c>
      <c r="IK78">
        <v>0</v>
      </c>
    </row>
    <row r="79" spans="1:255" x14ac:dyDescent="0.2">
      <c r="A79" s="2">
        <v>18</v>
      </c>
      <c r="B79" s="2">
        <v>1</v>
      </c>
      <c r="C79" s="2">
        <v>96</v>
      </c>
      <c r="D79" s="2"/>
      <c r="E79" s="2" t="s">
        <v>104</v>
      </c>
      <c r="F79" s="2" t="s">
        <v>105</v>
      </c>
      <c r="G79" s="2" t="s">
        <v>106</v>
      </c>
      <c r="H79" s="2" t="s">
        <v>44</v>
      </c>
      <c r="I79" s="2">
        <f>I75*J79</f>
        <v>0.200345</v>
      </c>
      <c r="J79" s="207">
        <f>'5.Ведомость_списания'!F55</f>
        <v>4.2499999999999996E-2</v>
      </c>
      <c r="K79" s="2">
        <v>4.2500000000000003E-2</v>
      </c>
      <c r="L79" s="2"/>
      <c r="M79" s="2"/>
      <c r="N79" s="2"/>
      <c r="O79" s="2">
        <f t="shared" si="45"/>
        <v>6158</v>
      </c>
      <c r="P79" s="2">
        <f t="shared" si="46"/>
        <v>6158</v>
      </c>
      <c r="Q79" s="2">
        <f t="shared" si="47"/>
        <v>0</v>
      </c>
      <c r="R79" s="2">
        <f t="shared" si="48"/>
        <v>0</v>
      </c>
      <c r="S79" s="2">
        <f t="shared" si="49"/>
        <v>0</v>
      </c>
      <c r="T79" s="2">
        <f t="shared" si="50"/>
        <v>0</v>
      </c>
      <c r="U79" s="2">
        <f t="shared" si="51"/>
        <v>0</v>
      </c>
      <c r="V79" s="2">
        <f t="shared" si="52"/>
        <v>0</v>
      </c>
      <c r="W79" s="2">
        <f t="shared" si="53"/>
        <v>6</v>
      </c>
      <c r="X79" s="2">
        <f t="shared" si="54"/>
        <v>0</v>
      </c>
      <c r="Y79" s="2">
        <f t="shared" si="55"/>
        <v>0</v>
      </c>
      <c r="Z79" s="2"/>
      <c r="AA79" s="2">
        <v>74242616</v>
      </c>
      <c r="AB79" s="2">
        <f t="shared" si="56"/>
        <v>30737.73</v>
      </c>
      <c r="AC79" s="2">
        <f>ROUND((ES79),2)</f>
        <v>30737.73</v>
      </c>
      <c r="AD79" s="2">
        <f t="shared" si="86"/>
        <v>0</v>
      </c>
      <c r="AE79" s="2">
        <f t="shared" si="58"/>
        <v>0</v>
      </c>
      <c r="AF79" s="2">
        <f t="shared" si="59"/>
        <v>0</v>
      </c>
      <c r="AG79" s="2">
        <f t="shared" si="60"/>
        <v>0</v>
      </c>
      <c r="AH79" s="2">
        <f t="shared" si="61"/>
        <v>0</v>
      </c>
      <c r="AI79" s="2">
        <f t="shared" si="62"/>
        <v>0</v>
      </c>
      <c r="AJ79" s="2">
        <f t="shared" si="63"/>
        <v>30.1</v>
      </c>
      <c r="AK79" s="2">
        <v>30737.73</v>
      </c>
      <c r="AL79" s="111">
        <f>'1.Лок.смета.и.Акт'!F160</f>
        <v>30737.73</v>
      </c>
      <c r="AM79" s="2">
        <v>0</v>
      </c>
      <c r="AN79" s="2">
        <v>0</v>
      </c>
      <c r="AO79" s="2">
        <v>0</v>
      </c>
      <c r="AP79" s="2">
        <v>0</v>
      </c>
      <c r="AQ79" s="2">
        <v>0</v>
      </c>
      <c r="AR79" s="2">
        <v>0</v>
      </c>
      <c r="AS79" s="2">
        <v>30.1</v>
      </c>
      <c r="AT79" s="2">
        <v>0</v>
      </c>
      <c r="AU79" s="2">
        <v>0</v>
      </c>
      <c r="AV79" s="2">
        <v>1</v>
      </c>
      <c r="AW79" s="2">
        <v>1</v>
      </c>
      <c r="AX79" s="2"/>
      <c r="AY79" s="2"/>
      <c r="AZ79" s="2">
        <v>1</v>
      </c>
      <c r="BA79" s="2">
        <v>1</v>
      </c>
      <c r="BB79" s="2">
        <v>1</v>
      </c>
      <c r="BC79" s="2">
        <v>1</v>
      </c>
      <c r="BD79" s="2" t="s">
        <v>6</v>
      </c>
      <c r="BE79" s="2" t="s">
        <v>6</v>
      </c>
      <c r="BF79" s="2" t="s">
        <v>6</v>
      </c>
      <c r="BG79" s="2" t="s">
        <v>6</v>
      </c>
      <c r="BH79" s="2">
        <v>3</v>
      </c>
      <c r="BI79" s="2">
        <v>1</v>
      </c>
      <c r="BJ79" s="2" t="s">
        <v>107</v>
      </c>
      <c r="BK79" s="2"/>
      <c r="BL79" s="2"/>
      <c r="BM79" s="2">
        <v>500001</v>
      </c>
      <c r="BN79" s="2">
        <v>0</v>
      </c>
      <c r="BO79" s="2" t="s">
        <v>6</v>
      </c>
      <c r="BP79" s="2">
        <v>0</v>
      </c>
      <c r="BQ79" s="2">
        <v>8</v>
      </c>
      <c r="BR79" s="2">
        <v>0</v>
      </c>
      <c r="BS79" s="2">
        <v>1</v>
      </c>
      <c r="BT79" s="2">
        <v>1</v>
      </c>
      <c r="BU79" s="2">
        <v>1</v>
      </c>
      <c r="BV79" s="2">
        <v>1</v>
      </c>
      <c r="BW79" s="2">
        <v>1</v>
      </c>
      <c r="BX79" s="2">
        <v>1</v>
      </c>
      <c r="BY79" s="2" t="s">
        <v>6</v>
      </c>
      <c r="BZ79" s="2">
        <v>0</v>
      </c>
      <c r="CA79" s="2">
        <v>0</v>
      </c>
      <c r="CB79" s="2" t="s">
        <v>6</v>
      </c>
      <c r="CC79" s="2"/>
      <c r="CD79" s="2"/>
      <c r="CE79" s="2">
        <v>0</v>
      </c>
      <c r="CF79" s="2">
        <v>0</v>
      </c>
      <c r="CG79" s="2">
        <v>0</v>
      </c>
      <c r="CH79" s="2"/>
      <c r="CI79" s="2"/>
      <c r="CJ79" s="2"/>
      <c r="CK79" s="2"/>
      <c r="CL79" s="2"/>
      <c r="CM79" s="2">
        <v>0</v>
      </c>
      <c r="CN79" s="2" t="s">
        <v>6</v>
      </c>
      <c r="CO79" s="2">
        <v>0</v>
      </c>
      <c r="CP79" s="2">
        <f t="shared" si="64"/>
        <v>6158</v>
      </c>
      <c r="CQ79" s="2">
        <f t="shared" si="65"/>
        <v>30737.73</v>
      </c>
      <c r="CR79" s="2">
        <f t="shared" si="66"/>
        <v>0</v>
      </c>
      <c r="CS79" s="2">
        <f t="shared" si="67"/>
        <v>0</v>
      </c>
      <c r="CT79" s="2">
        <f t="shared" si="68"/>
        <v>0</v>
      </c>
      <c r="CU79" s="2">
        <f t="shared" si="69"/>
        <v>0</v>
      </c>
      <c r="CV79" s="2">
        <f t="shared" si="70"/>
        <v>0</v>
      </c>
      <c r="CW79" s="2">
        <f t="shared" si="71"/>
        <v>0</v>
      </c>
      <c r="CX79" s="2">
        <f t="shared" si="72"/>
        <v>30.1</v>
      </c>
      <c r="CY79" s="2">
        <f>(((S79+R79)*AT79)/100)</f>
        <v>0</v>
      </c>
      <c r="CZ79" s="2">
        <f>(((S79+R79)*AU79)/100)</f>
        <v>0</v>
      </c>
      <c r="DA79" s="2"/>
      <c r="DB79" s="2"/>
      <c r="DC79" s="2" t="s">
        <v>6</v>
      </c>
      <c r="DD79" s="2" t="s">
        <v>6</v>
      </c>
      <c r="DE79" s="2" t="s">
        <v>6</v>
      </c>
      <c r="DF79" s="2" t="s">
        <v>6</v>
      </c>
      <c r="DG79" s="2" t="s">
        <v>6</v>
      </c>
      <c r="DH79" s="2" t="s">
        <v>6</v>
      </c>
      <c r="DI79" s="2" t="s">
        <v>6</v>
      </c>
      <c r="DJ79" s="2" t="s">
        <v>6</v>
      </c>
      <c r="DK79" s="2" t="s">
        <v>6</v>
      </c>
      <c r="DL79" s="2" t="s">
        <v>6</v>
      </c>
      <c r="DM79" s="2" t="s">
        <v>6</v>
      </c>
      <c r="DN79" s="2">
        <v>0</v>
      </c>
      <c r="DO79" s="2">
        <v>0</v>
      </c>
      <c r="DP79" s="2">
        <v>1</v>
      </c>
      <c r="DQ79" s="2">
        <v>1</v>
      </c>
      <c r="DR79" s="2"/>
      <c r="DS79" s="2"/>
      <c r="DT79" s="2"/>
      <c r="DU79" s="2">
        <v>1009</v>
      </c>
      <c r="DV79" s="2" t="s">
        <v>44</v>
      </c>
      <c r="DW79" s="2" t="s">
        <v>44</v>
      </c>
      <c r="DX79" s="2">
        <v>1000</v>
      </c>
      <c r="DY79" s="2"/>
      <c r="DZ79" s="2" t="s">
        <v>6</v>
      </c>
      <c r="EA79" s="2" t="s">
        <v>6</v>
      </c>
      <c r="EB79" s="2" t="s">
        <v>6</v>
      </c>
      <c r="EC79" s="2" t="s">
        <v>6</v>
      </c>
      <c r="ED79" s="2"/>
      <c r="EE79" s="2">
        <v>54328897</v>
      </c>
      <c r="EF79" s="2">
        <v>8</v>
      </c>
      <c r="EG79" s="2" t="s">
        <v>35</v>
      </c>
      <c r="EH79" s="2">
        <v>0</v>
      </c>
      <c r="EI79" s="2" t="s">
        <v>6</v>
      </c>
      <c r="EJ79" s="2">
        <v>1</v>
      </c>
      <c r="EK79" s="2">
        <v>500001</v>
      </c>
      <c r="EL79" s="2" t="s">
        <v>36</v>
      </c>
      <c r="EM79" s="2" t="s">
        <v>37</v>
      </c>
      <c r="EN79" s="2"/>
      <c r="EO79" s="2" t="s">
        <v>6</v>
      </c>
      <c r="EP79" s="2"/>
      <c r="EQ79" s="2">
        <v>0</v>
      </c>
      <c r="ER79" s="2">
        <v>30737.73</v>
      </c>
      <c r="ES79" s="111">
        <f>'1.Лок.смета.и.Акт'!F160</f>
        <v>30737.73</v>
      </c>
      <c r="ET79" s="2">
        <v>0</v>
      </c>
      <c r="EU79" s="2">
        <v>0</v>
      </c>
      <c r="EV79" s="2">
        <v>0</v>
      </c>
      <c r="EW79" s="2">
        <v>0</v>
      </c>
      <c r="EX79" s="2">
        <v>0</v>
      </c>
      <c r="EY79" s="2"/>
      <c r="EZ79" s="2"/>
      <c r="FA79" s="2"/>
      <c r="FB79" s="2"/>
      <c r="FC79" s="2"/>
      <c r="FD79" s="2"/>
      <c r="FE79" s="2"/>
      <c r="FF79" s="2"/>
      <c r="FG79" s="2"/>
      <c r="FH79" s="2"/>
      <c r="FI79" s="2"/>
      <c r="FJ79" s="2"/>
      <c r="FK79" s="2"/>
      <c r="FL79" s="2"/>
      <c r="FM79" s="2"/>
      <c r="FN79" s="2"/>
      <c r="FO79" s="2"/>
      <c r="FP79" s="2"/>
      <c r="FQ79" s="2">
        <v>0</v>
      </c>
      <c r="FR79" s="2">
        <f t="shared" si="73"/>
        <v>0</v>
      </c>
      <c r="FS79" s="2">
        <v>0</v>
      </c>
      <c r="FT79" s="2"/>
      <c r="FU79" s="2"/>
      <c r="FV79" s="2"/>
      <c r="FW79" s="2"/>
      <c r="FX79" s="2">
        <v>0</v>
      </c>
      <c r="FY79" s="2">
        <v>0</v>
      </c>
      <c r="FZ79" s="2"/>
      <c r="GA79" s="2" t="s">
        <v>6</v>
      </c>
      <c r="GB79" s="2"/>
      <c r="GC79" s="2"/>
      <c r="GD79" s="2">
        <v>1</v>
      </c>
      <c r="GE79" s="2"/>
      <c r="GF79" s="2">
        <v>-960782185</v>
      </c>
      <c r="GG79" s="2">
        <v>2</v>
      </c>
      <c r="GH79" s="2">
        <v>1</v>
      </c>
      <c r="GI79" s="2">
        <v>-2</v>
      </c>
      <c r="GJ79" s="2">
        <v>0</v>
      </c>
      <c r="GK79" s="2">
        <v>0</v>
      </c>
      <c r="GL79" s="2">
        <f t="shared" si="74"/>
        <v>0</v>
      </c>
      <c r="GM79" s="2">
        <f t="shared" si="75"/>
        <v>6158</v>
      </c>
      <c r="GN79" s="2">
        <f t="shared" si="76"/>
        <v>6158</v>
      </c>
      <c r="GO79" s="2">
        <f t="shared" si="77"/>
        <v>0</v>
      </c>
      <c r="GP79" s="2">
        <f t="shared" si="78"/>
        <v>0</v>
      </c>
      <c r="GQ79" s="2"/>
      <c r="GR79" s="2">
        <v>0</v>
      </c>
      <c r="GS79" s="2">
        <v>3</v>
      </c>
      <c r="GT79" s="2">
        <v>0</v>
      </c>
      <c r="GU79" s="2" t="s">
        <v>6</v>
      </c>
      <c r="GV79" s="2">
        <f t="shared" si="79"/>
        <v>0</v>
      </c>
      <c r="GW79" s="2">
        <v>1</v>
      </c>
      <c r="GX79" s="2">
        <f t="shared" si="80"/>
        <v>0</v>
      </c>
      <c r="GY79" s="2"/>
      <c r="GZ79" s="2"/>
      <c r="HA79" s="2">
        <v>0</v>
      </c>
      <c r="HB79" s="2">
        <v>0</v>
      </c>
      <c r="HC79" s="2">
        <f t="shared" si="81"/>
        <v>0</v>
      </c>
      <c r="HD79" s="2"/>
      <c r="HE79" s="2" t="s">
        <v>6</v>
      </c>
      <c r="HF79" s="2" t="s">
        <v>6</v>
      </c>
      <c r="HG79" s="2"/>
      <c r="HH79" s="2"/>
      <c r="HI79" s="2"/>
      <c r="HJ79" s="2"/>
      <c r="HK79" s="2"/>
      <c r="HL79" s="2"/>
      <c r="HM79" s="2" t="s">
        <v>6</v>
      </c>
      <c r="HN79" s="2" t="s">
        <v>6</v>
      </c>
      <c r="HO79" s="2" t="s">
        <v>6</v>
      </c>
      <c r="HP79" s="2" t="s">
        <v>6</v>
      </c>
      <c r="HQ79" s="2" t="s">
        <v>6</v>
      </c>
      <c r="HR79" s="2"/>
      <c r="HS79" s="2"/>
      <c r="HT79" s="2"/>
      <c r="HU79" s="2"/>
      <c r="HV79" s="2"/>
      <c r="HW79" s="2"/>
      <c r="HX79" s="2"/>
      <c r="HY79" s="2"/>
      <c r="HZ79" s="2"/>
      <c r="IA79" s="2"/>
      <c r="IB79" s="2"/>
      <c r="IC79" s="2"/>
      <c r="ID79" s="2"/>
      <c r="IE79" s="2"/>
      <c r="IF79" s="2">
        <v>-1</v>
      </c>
      <c r="IG79" s="2"/>
      <c r="IH79" s="2"/>
      <c r="II79" s="2"/>
      <c r="IJ79" s="2"/>
      <c r="IK79" s="2">
        <v>0</v>
      </c>
      <c r="IL79" s="2"/>
      <c r="IM79" s="2"/>
      <c r="IN79" s="2"/>
      <c r="IO79" s="2"/>
      <c r="IP79" s="2"/>
      <c r="IQ79" s="2"/>
      <c r="IR79" s="2"/>
      <c r="IS79" s="2"/>
      <c r="IT79" s="2"/>
      <c r="IU79" s="2"/>
    </row>
    <row r="80" spans="1:255" x14ac:dyDescent="0.2">
      <c r="A80">
        <v>18</v>
      </c>
      <c r="B80">
        <v>1</v>
      </c>
      <c r="C80">
        <v>102</v>
      </c>
      <c r="E80" t="s">
        <v>104</v>
      </c>
      <c r="F80" t="e">
        <f>'2.Лок.смета.и.Акт'!#REF!</f>
        <v>#REF!</v>
      </c>
      <c r="G80" t="s">
        <v>106</v>
      </c>
      <c r="H80" t="s">
        <v>44</v>
      </c>
      <c r="I80">
        <f>I76*J80</f>
        <v>0.200345</v>
      </c>
      <c r="J80">
        <v>4.2499999999999996E-2</v>
      </c>
      <c r="K80">
        <v>4.2500000000000003E-2</v>
      </c>
      <c r="O80">
        <f t="shared" si="45"/>
        <v>60115</v>
      </c>
      <c r="P80">
        <f t="shared" si="46"/>
        <v>60115</v>
      </c>
      <c r="Q80">
        <f t="shared" si="47"/>
        <v>0</v>
      </c>
      <c r="R80">
        <f t="shared" si="48"/>
        <v>0</v>
      </c>
      <c r="S80">
        <f t="shared" si="49"/>
        <v>0</v>
      </c>
      <c r="T80">
        <f t="shared" si="50"/>
        <v>0</v>
      </c>
      <c r="U80">
        <f t="shared" si="51"/>
        <v>0</v>
      </c>
      <c r="V80">
        <f t="shared" si="52"/>
        <v>0</v>
      </c>
      <c r="W80">
        <f t="shared" si="53"/>
        <v>6</v>
      </c>
      <c r="X80">
        <f t="shared" si="54"/>
        <v>0</v>
      </c>
      <c r="Y80">
        <f t="shared" si="55"/>
        <v>0</v>
      </c>
      <c r="AA80">
        <v>74242617</v>
      </c>
      <c r="AB80">
        <f t="shared" si="56"/>
        <v>39690.269999999997</v>
      </c>
      <c r="AC80">
        <f>ROUND((ES80),2)</f>
        <v>39690.269999999997</v>
      </c>
      <c r="AD80">
        <f t="shared" si="86"/>
        <v>0</v>
      </c>
      <c r="AE80">
        <f t="shared" si="58"/>
        <v>0</v>
      </c>
      <c r="AF80">
        <f t="shared" si="59"/>
        <v>0</v>
      </c>
      <c r="AG80">
        <f t="shared" si="60"/>
        <v>0</v>
      </c>
      <c r="AH80">
        <f t="shared" si="61"/>
        <v>0</v>
      </c>
      <c r="AI80">
        <f t="shared" si="62"/>
        <v>0</v>
      </c>
      <c r="AJ80">
        <f t="shared" si="63"/>
        <v>30.1</v>
      </c>
      <c r="AK80">
        <v>39690.269999999997</v>
      </c>
      <c r="AL80">
        <v>39690.269999999997</v>
      </c>
      <c r="AM80">
        <v>0</v>
      </c>
      <c r="AN80">
        <v>0</v>
      </c>
      <c r="AO80">
        <v>0</v>
      </c>
      <c r="AP80">
        <v>0</v>
      </c>
      <c r="AQ80">
        <v>0</v>
      </c>
      <c r="AR80">
        <v>0</v>
      </c>
      <c r="AS80">
        <v>30.1</v>
      </c>
      <c r="AT80">
        <v>0</v>
      </c>
      <c r="AU80">
        <v>0</v>
      </c>
      <c r="AV80">
        <v>1</v>
      </c>
      <c r="AW80">
        <v>1</v>
      </c>
      <c r="AZ80">
        <v>1</v>
      </c>
      <c r="BA80">
        <v>1</v>
      </c>
      <c r="BB80">
        <v>1</v>
      </c>
      <c r="BC80">
        <v>7.56</v>
      </c>
      <c r="BD80" t="s">
        <v>6</v>
      </c>
      <c r="BE80" t="s">
        <v>6</v>
      </c>
      <c r="BF80" t="s">
        <v>6</v>
      </c>
      <c r="BG80" t="s">
        <v>6</v>
      </c>
      <c r="BH80">
        <v>3</v>
      </c>
      <c r="BI80">
        <v>1</v>
      </c>
      <c r="BJ80" t="s">
        <v>107</v>
      </c>
      <c r="BM80">
        <v>500001</v>
      </c>
      <c r="BN80">
        <v>0</v>
      </c>
      <c r="BO80" t="s">
        <v>6</v>
      </c>
      <c r="BP80">
        <v>0</v>
      </c>
      <c r="BQ80">
        <v>8</v>
      </c>
      <c r="BR80">
        <v>0</v>
      </c>
      <c r="BS80">
        <v>1</v>
      </c>
      <c r="BT80">
        <v>1</v>
      </c>
      <c r="BU80">
        <v>1</v>
      </c>
      <c r="BV80">
        <v>1</v>
      </c>
      <c r="BW80">
        <v>1</v>
      </c>
      <c r="BX80">
        <v>1</v>
      </c>
      <c r="BY80" t="s">
        <v>6</v>
      </c>
      <c r="BZ80">
        <v>0</v>
      </c>
      <c r="CA80">
        <v>0</v>
      </c>
      <c r="CB80" t="s">
        <v>6</v>
      </c>
      <c r="CE80">
        <v>0</v>
      </c>
      <c r="CF80">
        <v>0</v>
      </c>
      <c r="CG80">
        <v>0</v>
      </c>
      <c r="CM80">
        <v>0</v>
      </c>
      <c r="CN80" t="s">
        <v>6</v>
      </c>
      <c r="CO80">
        <v>0</v>
      </c>
      <c r="CP80">
        <f t="shared" si="64"/>
        <v>60115</v>
      </c>
      <c r="CQ80">
        <f t="shared" si="65"/>
        <v>300058.44119999994</v>
      </c>
      <c r="CR80">
        <f t="shared" si="66"/>
        <v>0</v>
      </c>
      <c r="CS80">
        <f t="shared" si="67"/>
        <v>0</v>
      </c>
      <c r="CT80">
        <f t="shared" si="68"/>
        <v>0</v>
      </c>
      <c r="CU80">
        <f t="shared" si="69"/>
        <v>0</v>
      </c>
      <c r="CV80">
        <f t="shared" si="70"/>
        <v>0</v>
      </c>
      <c r="CW80">
        <f t="shared" si="71"/>
        <v>0</v>
      </c>
      <c r="CX80">
        <f t="shared" si="72"/>
        <v>30.1</v>
      </c>
      <c r="CY80">
        <f>(S80+R80)*(BZ80/100)</f>
        <v>0</v>
      </c>
      <c r="CZ80">
        <f>(S80+R80)*(CA80/100)</f>
        <v>0</v>
      </c>
      <c r="DC80" t="s">
        <v>6</v>
      </c>
      <c r="DD80" t="s">
        <v>6</v>
      </c>
      <c r="DE80" t="s">
        <v>6</v>
      </c>
      <c r="DF80" t="s">
        <v>6</v>
      </c>
      <c r="DG80" t="s">
        <v>6</v>
      </c>
      <c r="DH80" t="s">
        <v>6</v>
      </c>
      <c r="DI80" t="s">
        <v>6</v>
      </c>
      <c r="DJ80" t="s">
        <v>6</v>
      </c>
      <c r="DK80" t="s">
        <v>6</v>
      </c>
      <c r="DL80" t="s">
        <v>6</v>
      </c>
      <c r="DM80" t="s">
        <v>6</v>
      </c>
      <c r="DN80">
        <v>0</v>
      </c>
      <c r="DO80">
        <v>0</v>
      </c>
      <c r="DP80">
        <v>1</v>
      </c>
      <c r="DQ80">
        <v>1</v>
      </c>
      <c r="DU80">
        <v>1009</v>
      </c>
      <c r="DV80" t="s">
        <v>44</v>
      </c>
      <c r="DW80" t="e">
        <f>'2.Лок.смета.и.Акт'!#REF!</f>
        <v>#REF!</v>
      </c>
      <c r="DX80">
        <v>1000</v>
      </c>
      <c r="DZ80" t="s">
        <v>6</v>
      </c>
      <c r="EA80" t="s">
        <v>6</v>
      </c>
      <c r="EB80" t="s">
        <v>6</v>
      </c>
      <c r="EC80" t="s">
        <v>6</v>
      </c>
      <c r="EE80">
        <v>54328897</v>
      </c>
      <c r="EF80">
        <v>8</v>
      </c>
      <c r="EG80" t="s">
        <v>35</v>
      </c>
      <c r="EH80">
        <v>0</v>
      </c>
      <c r="EI80" t="s">
        <v>6</v>
      </c>
      <c r="EJ80">
        <v>1</v>
      </c>
      <c r="EK80">
        <v>500001</v>
      </c>
      <c r="EL80" t="s">
        <v>36</v>
      </c>
      <c r="EM80" t="s">
        <v>37</v>
      </c>
      <c r="EO80" t="s">
        <v>6</v>
      </c>
      <c r="EQ80">
        <v>0</v>
      </c>
      <c r="ER80">
        <v>287000</v>
      </c>
      <c r="ES80">
        <v>39690.269999999997</v>
      </c>
      <c r="ET80">
        <v>0</v>
      </c>
      <c r="EU80">
        <v>0</v>
      </c>
      <c r="EV80">
        <v>0</v>
      </c>
      <c r="EW80">
        <v>0</v>
      </c>
      <c r="EX80">
        <v>0</v>
      </c>
      <c r="EZ80">
        <v>5</v>
      </c>
      <c r="FC80">
        <v>0</v>
      </c>
      <c r="FD80">
        <v>18</v>
      </c>
      <c r="FF80">
        <v>287000</v>
      </c>
      <c r="FQ80">
        <v>0</v>
      </c>
      <c r="FR80">
        <f t="shared" si="73"/>
        <v>0</v>
      </c>
      <c r="FS80">
        <v>0</v>
      </c>
      <c r="FX80">
        <v>0</v>
      </c>
      <c r="FY80">
        <v>0</v>
      </c>
      <c r="GA80" t="s">
        <v>108</v>
      </c>
      <c r="GD80">
        <v>1</v>
      </c>
      <c r="GF80">
        <v>-960782185</v>
      </c>
      <c r="GG80">
        <v>2</v>
      </c>
      <c r="GH80">
        <v>3</v>
      </c>
      <c r="GI80">
        <v>5</v>
      </c>
      <c r="GJ80">
        <v>0</v>
      </c>
      <c r="GK80">
        <v>0</v>
      </c>
      <c r="GL80">
        <f t="shared" si="74"/>
        <v>0</v>
      </c>
      <c r="GM80">
        <f t="shared" si="75"/>
        <v>60115</v>
      </c>
      <c r="GN80">
        <f t="shared" si="76"/>
        <v>60115</v>
      </c>
      <c r="GO80">
        <f t="shared" si="77"/>
        <v>0</v>
      </c>
      <c r="GP80">
        <f t="shared" si="78"/>
        <v>0</v>
      </c>
      <c r="GR80">
        <v>1</v>
      </c>
      <c r="GS80">
        <v>1</v>
      </c>
      <c r="GT80">
        <v>0</v>
      </c>
      <c r="GU80" t="s">
        <v>6</v>
      </c>
      <c r="GV80">
        <f t="shared" si="79"/>
        <v>0</v>
      </c>
      <c r="GW80">
        <v>1</v>
      </c>
      <c r="GX80">
        <f t="shared" si="80"/>
        <v>0</v>
      </c>
      <c r="HA80">
        <v>0</v>
      </c>
      <c r="HB80">
        <v>0</v>
      </c>
      <c r="HC80">
        <f t="shared" si="81"/>
        <v>0</v>
      </c>
      <c r="HE80" t="s">
        <v>39</v>
      </c>
      <c r="HF80" t="s">
        <v>40</v>
      </c>
      <c r="HM80" t="s">
        <v>6</v>
      </c>
      <c r="HN80" t="s">
        <v>6</v>
      </c>
      <c r="HO80" t="s">
        <v>6</v>
      </c>
      <c r="HP80" t="s">
        <v>6</v>
      </c>
      <c r="HQ80" t="s">
        <v>6</v>
      </c>
      <c r="IF80">
        <v>-1</v>
      </c>
      <c r="IK80">
        <v>0</v>
      </c>
    </row>
    <row r="81" spans="1:240" x14ac:dyDescent="0.2">
      <c r="IF81">
        <v>-1</v>
      </c>
    </row>
    <row r="82" spans="1:240" x14ac:dyDescent="0.2">
      <c r="A82" s="3">
        <v>51</v>
      </c>
      <c r="B82" s="3">
        <f>B20</f>
        <v>1</v>
      </c>
      <c r="C82" s="3">
        <f>A20</f>
        <v>3</v>
      </c>
      <c r="D82" s="3">
        <f>ROW(A20)</f>
        <v>20</v>
      </c>
      <c r="E82" s="3"/>
      <c r="F82" s="3" t="str">
        <f>IF(F20&lt;&gt;"",F20,"")</f>
        <v>5.9.3.4</v>
      </c>
      <c r="G82" s="3" t="str">
        <f>IF(G20&lt;&gt;"",G20,"")</f>
        <v>Отделка помещений квартир типа "Теплый White Box"</v>
      </c>
      <c r="H82" s="3">
        <v>0</v>
      </c>
      <c r="I82" s="3"/>
      <c r="J82" s="3"/>
      <c r="K82" s="3"/>
      <c r="L82" s="3"/>
      <c r="M82" s="3"/>
      <c r="N82" s="3"/>
      <c r="O82" s="3">
        <f t="shared" ref="O82:T82" si="87">ROUND(AB82,0)</f>
        <v>46058</v>
      </c>
      <c r="P82" s="3">
        <f t="shared" si="87"/>
        <v>31709</v>
      </c>
      <c r="Q82" s="3">
        <f t="shared" si="87"/>
        <v>711</v>
      </c>
      <c r="R82" s="3">
        <f t="shared" si="87"/>
        <v>27</v>
      </c>
      <c r="S82" s="3">
        <f t="shared" si="87"/>
        <v>13638</v>
      </c>
      <c r="T82" s="3">
        <f t="shared" si="87"/>
        <v>0</v>
      </c>
      <c r="U82" s="3">
        <f>AH82</f>
        <v>1404.7252799999999</v>
      </c>
      <c r="V82" s="3">
        <f>AI82</f>
        <v>2.3105000000000007</v>
      </c>
      <c r="W82" s="3">
        <f>ROUND(AJ82,0)</f>
        <v>16</v>
      </c>
      <c r="X82" s="3">
        <f>ROUND(AK82,0)</f>
        <v>14348</v>
      </c>
      <c r="Y82" s="3">
        <f>ROUND(AL82,0)</f>
        <v>7515</v>
      </c>
      <c r="Z82" s="3"/>
      <c r="AA82" s="3"/>
      <c r="AB82" s="3">
        <f>ROUND(SUMIF(AA24:AA80,"=74242616",O24:O80),0)</f>
        <v>46058</v>
      </c>
      <c r="AC82" s="3">
        <f>ROUND(SUMIF(AA24:AA80,"=74242616",P24:P80),0)</f>
        <v>31709</v>
      </c>
      <c r="AD82" s="3">
        <f>ROUND(SUMIF(AA24:AA80,"=74242616",Q24:Q80),0)</f>
        <v>711</v>
      </c>
      <c r="AE82" s="3">
        <f>ROUND(SUMIF(AA24:AA80,"=74242616",R24:R80),0)</f>
        <v>27</v>
      </c>
      <c r="AF82" s="3">
        <f>ROUND(SUMIF(AA24:AA80,"=74242616",S24:S80),0)</f>
        <v>13638</v>
      </c>
      <c r="AG82" s="3">
        <f>ROUND(SUMIF(AA24:AA80,"=74242616",T24:T80),0)</f>
        <v>0</v>
      </c>
      <c r="AH82" s="3">
        <f>SUMIF(AA24:AA80,"=74242616",U24:U80)</f>
        <v>1404.7252799999999</v>
      </c>
      <c r="AI82" s="3">
        <f>SUMIF(AA24:AA80,"=74242616",V24:V80)</f>
        <v>2.3105000000000007</v>
      </c>
      <c r="AJ82" s="3">
        <f>ROUND(SUMIF(AA24:AA80,"=74242616",W24:W80),0)</f>
        <v>16</v>
      </c>
      <c r="AK82" s="3">
        <f>ROUND(SUMIF(AA24:AA80,"=74242616",X24:X80),0)</f>
        <v>14348</v>
      </c>
      <c r="AL82" s="3">
        <f>ROUND(SUMIF(AA24:AA80,"=74242616",Y24:Y80),0)</f>
        <v>7515</v>
      </c>
      <c r="AM82" s="3"/>
      <c r="AN82" s="3"/>
      <c r="AO82" s="3">
        <f t="shared" ref="AO82:BD82" si="88">ROUND(BX82,0)</f>
        <v>0</v>
      </c>
      <c r="AP82" s="3">
        <f t="shared" si="88"/>
        <v>0</v>
      </c>
      <c r="AQ82" s="3">
        <f t="shared" si="88"/>
        <v>0</v>
      </c>
      <c r="AR82" s="3">
        <f t="shared" si="88"/>
        <v>67921</v>
      </c>
      <c r="AS82" s="3">
        <f t="shared" si="88"/>
        <v>67921</v>
      </c>
      <c r="AT82" s="3">
        <f t="shared" si="88"/>
        <v>0</v>
      </c>
      <c r="AU82" s="3">
        <f t="shared" si="88"/>
        <v>0</v>
      </c>
      <c r="AV82" s="3">
        <f t="shared" si="88"/>
        <v>31709</v>
      </c>
      <c r="AW82" s="3">
        <f t="shared" si="88"/>
        <v>31709</v>
      </c>
      <c r="AX82" s="3">
        <f t="shared" si="88"/>
        <v>0</v>
      </c>
      <c r="AY82" s="3">
        <f t="shared" si="88"/>
        <v>31709</v>
      </c>
      <c r="AZ82" s="3">
        <f t="shared" si="88"/>
        <v>0</v>
      </c>
      <c r="BA82" s="3">
        <f t="shared" si="88"/>
        <v>0</v>
      </c>
      <c r="BB82" s="3">
        <f t="shared" si="88"/>
        <v>0</v>
      </c>
      <c r="BC82" s="3">
        <f t="shared" si="88"/>
        <v>0</v>
      </c>
      <c r="BD82" s="3">
        <f t="shared" si="88"/>
        <v>0</v>
      </c>
      <c r="BE82" s="3"/>
      <c r="BF82" s="3"/>
      <c r="BG82" s="3"/>
      <c r="BH82" s="3"/>
      <c r="BI82" s="3"/>
      <c r="BJ82" s="3"/>
      <c r="BK82" s="3"/>
      <c r="BL82" s="3"/>
      <c r="BM82" s="3"/>
      <c r="BN82" s="3"/>
      <c r="BO82" s="3"/>
      <c r="BP82" s="3"/>
      <c r="BQ82" s="3"/>
      <c r="BR82" s="3"/>
      <c r="BS82" s="3"/>
      <c r="BT82" s="3"/>
      <c r="BU82" s="3"/>
      <c r="BV82" s="3"/>
      <c r="BW82" s="3"/>
      <c r="BX82" s="3">
        <f>ROUND(SUMIF(AA24:AA80,"=74242616",FQ24:FQ80),0)</f>
        <v>0</v>
      </c>
      <c r="BY82" s="3">
        <f>ROUND(SUMIF(AA24:AA80,"=74242616",FR24:FR80),0)</f>
        <v>0</v>
      </c>
      <c r="BZ82" s="3">
        <f>ROUND(SUMIF(AA24:AA80,"=74242616",GL24:GL80),0)</f>
        <v>0</v>
      </c>
      <c r="CA82" s="3">
        <f>ROUND(SUMIF(AA24:AA80,"=74242616",GM24:GM80),0)</f>
        <v>67921</v>
      </c>
      <c r="CB82" s="3">
        <f>ROUND(SUMIF(AA24:AA80,"=74242616",GN24:GN80),0)</f>
        <v>67921</v>
      </c>
      <c r="CC82" s="3">
        <f>ROUND(SUMIF(AA24:AA80,"=74242616",GO24:GO80),0)</f>
        <v>0</v>
      </c>
      <c r="CD82" s="3">
        <f>ROUND(SUMIF(AA24:AA80,"=74242616",GP24:GP80),0)</f>
        <v>0</v>
      </c>
      <c r="CE82" s="3">
        <f>AC82-BX82</f>
        <v>31709</v>
      </c>
      <c r="CF82" s="3">
        <f>AC82-BY82</f>
        <v>31709</v>
      </c>
      <c r="CG82" s="3">
        <f>BX82-BZ82</f>
        <v>0</v>
      </c>
      <c r="CH82" s="3">
        <f>AC82-BX82-BY82+BZ82</f>
        <v>31709</v>
      </c>
      <c r="CI82" s="3">
        <f>BY82-BZ82</f>
        <v>0</v>
      </c>
      <c r="CJ82" s="3">
        <f>ROUND(SUMIF(AA24:AA80,"=74242616",GX24:GX80),0)</f>
        <v>0</v>
      </c>
      <c r="CK82" s="3">
        <f>ROUND(SUMIF(AA24:AA80,"=74242616",GY24:GY80),0)</f>
        <v>0</v>
      </c>
      <c r="CL82" s="3">
        <f>ROUND(SUMIF(AA24:AA80,"=74242616",GZ24:GZ80),0)</f>
        <v>0</v>
      </c>
      <c r="CM82" s="3">
        <f>ROUND(SUMIF(AA24:AA80,"=74242616",HD24:HD80),0)</f>
        <v>0</v>
      </c>
      <c r="CN82" s="3"/>
      <c r="CO82" s="3"/>
      <c r="CP82" s="3"/>
      <c r="CQ82" s="3"/>
      <c r="CR82" s="3"/>
      <c r="CS82" s="3"/>
      <c r="CT82" s="3"/>
      <c r="CU82" s="3"/>
      <c r="CV82" s="3"/>
      <c r="CW82" s="3"/>
      <c r="CX82" s="3"/>
      <c r="CY82" s="3"/>
      <c r="CZ82" s="3"/>
      <c r="DA82" s="3"/>
      <c r="DB82" s="3"/>
      <c r="DC82" s="3"/>
      <c r="DD82" s="3"/>
      <c r="DE82" s="3"/>
      <c r="DF82" s="3"/>
      <c r="DG82" s="4">
        <f t="shared" ref="DG82:DL82" si="89">ROUND(DT82,0)</f>
        <v>642292</v>
      </c>
      <c r="DH82" s="4">
        <f t="shared" si="89"/>
        <v>159520</v>
      </c>
      <c r="DI82" s="4">
        <f t="shared" si="89"/>
        <v>9086</v>
      </c>
      <c r="DJ82" s="4">
        <f t="shared" si="89"/>
        <v>768</v>
      </c>
      <c r="DK82" s="4">
        <f t="shared" si="89"/>
        <v>473686</v>
      </c>
      <c r="DL82" s="4">
        <f t="shared" si="89"/>
        <v>0</v>
      </c>
      <c r="DM82" s="4" t="e">
        <f>DZ82</f>
        <v>#REF!</v>
      </c>
      <c r="DN82" s="4">
        <f>EA82</f>
        <v>2.3105000000000007</v>
      </c>
      <c r="DO82" s="4">
        <f>ROUND(EB82,0)</f>
        <v>16</v>
      </c>
      <c r="DP82" s="4" t="e">
        <f>ROUND(EC82,0)</f>
        <v>#REF!</v>
      </c>
      <c r="DQ82" s="4" t="e">
        <f>ROUND(ED82,0)</f>
        <v>#REF!</v>
      </c>
      <c r="DR82" s="4"/>
      <c r="DS82" s="4"/>
      <c r="DT82" s="4">
        <f>ROUND(SUMIF(AA24:AA80,"=74242617",O24:O80),0)</f>
        <v>642292</v>
      </c>
      <c r="DU82" s="4">
        <f>ROUND(SUMIF(AA24:AA80,"=74242617",P24:P80),0)</f>
        <v>159520</v>
      </c>
      <c r="DV82" s="4">
        <f>ROUND(SUMIF(AA24:AA80,"=74242617",Q24:Q80),0)</f>
        <v>9086</v>
      </c>
      <c r="DW82" s="4">
        <f>ROUND(SUMIF(AA24:AA80,"=74242617",R24:R80),0)</f>
        <v>768</v>
      </c>
      <c r="DX82" s="4">
        <f>ROUND(SUMIF(AA24:AA80,"=74242617",S24:S80),0)</f>
        <v>473686</v>
      </c>
      <c r="DY82" s="4">
        <f>ROUND(SUMIF(AA24:AA80,"=74242617",T24:T80),0)</f>
        <v>0</v>
      </c>
      <c r="DZ82" s="4" t="e">
        <f>SUMIF(AA24:AA80,"=74242617",U24:U80)</f>
        <v>#REF!</v>
      </c>
      <c r="EA82" s="4">
        <f>SUMIF(AA24:AA80,"=74242617",V24:V80)</f>
        <v>2.3105000000000007</v>
      </c>
      <c r="EB82" s="4">
        <f>ROUND(SUMIF(AA24:AA80,"=74242617",W24:W80),0)</f>
        <v>16</v>
      </c>
      <c r="EC82" s="4" t="e">
        <f>ROUND(SUMIF(AA24:AA80,"=74242617",X24:X80),0)</f>
        <v>#REF!</v>
      </c>
      <c r="ED82" s="4" t="e">
        <f>ROUND(SUMIF(AA24:AA80,"=74242617",Y24:Y80),0)</f>
        <v>#REF!</v>
      </c>
      <c r="EE82" s="4"/>
      <c r="EF82" s="4"/>
      <c r="EG82" s="4">
        <f t="shared" ref="EG82:EV82" si="90">ROUND(FP82,0)</f>
        <v>0</v>
      </c>
      <c r="EH82" s="4">
        <f t="shared" si="90"/>
        <v>0</v>
      </c>
      <c r="EI82" s="4">
        <f t="shared" si="90"/>
        <v>0</v>
      </c>
      <c r="EJ82" s="4" t="e">
        <f t="shared" si="90"/>
        <v>#REF!</v>
      </c>
      <c r="EK82" s="4" t="e">
        <f t="shared" si="90"/>
        <v>#REF!</v>
      </c>
      <c r="EL82" s="4">
        <f t="shared" si="90"/>
        <v>0</v>
      </c>
      <c r="EM82" s="4">
        <f t="shared" si="90"/>
        <v>0</v>
      </c>
      <c r="EN82" s="4">
        <f t="shared" si="90"/>
        <v>159520</v>
      </c>
      <c r="EO82" s="4">
        <f t="shared" si="90"/>
        <v>159520</v>
      </c>
      <c r="EP82" s="4">
        <f t="shared" si="90"/>
        <v>0</v>
      </c>
      <c r="EQ82" s="4">
        <f t="shared" si="90"/>
        <v>159520</v>
      </c>
      <c r="ER82" s="4">
        <f t="shared" si="90"/>
        <v>0</v>
      </c>
      <c r="ES82" s="4">
        <f t="shared" si="90"/>
        <v>0</v>
      </c>
      <c r="ET82" s="4">
        <f t="shared" si="90"/>
        <v>0</v>
      </c>
      <c r="EU82" s="4">
        <f t="shared" si="90"/>
        <v>0</v>
      </c>
      <c r="EV82" s="4">
        <f t="shared" si="90"/>
        <v>0</v>
      </c>
      <c r="EW82" s="4"/>
      <c r="EX82" s="4"/>
      <c r="EY82" s="4"/>
      <c r="EZ82" s="4"/>
      <c r="FA82" s="4"/>
      <c r="FB82" s="4"/>
      <c r="FC82" s="4"/>
      <c r="FD82" s="4"/>
      <c r="FE82" s="4"/>
      <c r="FF82" s="4"/>
      <c r="FG82" s="4"/>
      <c r="FH82" s="4"/>
      <c r="FI82" s="4"/>
      <c r="FJ82" s="4"/>
      <c r="FK82" s="4"/>
      <c r="FL82" s="4"/>
      <c r="FM82" s="4"/>
      <c r="FN82" s="4"/>
      <c r="FO82" s="4"/>
      <c r="FP82" s="4">
        <f>ROUND(SUMIF(AA24:AA80,"=74242617",FQ24:FQ80),0)</f>
        <v>0</v>
      </c>
      <c r="FQ82" s="4">
        <f>ROUND(SUMIF(AA24:AA80,"=74242617",FR24:FR80),0)</f>
        <v>0</v>
      </c>
      <c r="FR82" s="4">
        <f>ROUND(SUMIF(AA24:AA80,"=74242617",GL24:GL80),0)</f>
        <v>0</v>
      </c>
      <c r="FS82" s="4" t="e">
        <f>ROUND(SUMIF(AA24:AA80,"=74242617",GM24:GM80),0)</f>
        <v>#REF!</v>
      </c>
      <c r="FT82" s="4" t="e">
        <f>ROUND(SUMIF(AA24:AA80,"=74242617",GN24:GN80),0)</f>
        <v>#REF!</v>
      </c>
      <c r="FU82" s="4">
        <f>ROUND(SUMIF(AA24:AA80,"=74242617",GO24:GO80),0)</f>
        <v>0</v>
      </c>
      <c r="FV82" s="4">
        <f>ROUND(SUMIF(AA24:AA80,"=74242617",GP24:GP80),0)</f>
        <v>0</v>
      </c>
      <c r="FW82" s="4">
        <f>DU82-FP82</f>
        <v>159520</v>
      </c>
      <c r="FX82" s="4">
        <f>DU82-FQ82</f>
        <v>159520</v>
      </c>
      <c r="FY82" s="4">
        <f>FP82-FR82</f>
        <v>0</v>
      </c>
      <c r="FZ82" s="4">
        <f>DU82-FP82-FQ82+FR82</f>
        <v>159520</v>
      </c>
      <c r="GA82" s="4">
        <f>FQ82-FR82</f>
        <v>0</v>
      </c>
      <c r="GB82" s="4">
        <f>ROUND(SUMIF(AA24:AA80,"=74242617",GX24:GX80),0)</f>
        <v>0</v>
      </c>
      <c r="GC82" s="4">
        <f>ROUND(SUMIF(AA24:AA80,"=74242617",GY24:GY80),0)</f>
        <v>0</v>
      </c>
      <c r="GD82" s="4">
        <f>ROUND(SUMIF(AA24:AA80,"=74242617",GZ24:GZ80),0)</f>
        <v>0</v>
      </c>
      <c r="GE82" s="4">
        <f>ROUND(SUMIF(AA24:AA80,"=74242617",HD24:HD80),0)</f>
        <v>0</v>
      </c>
      <c r="GF82" s="4"/>
      <c r="GG82" s="4"/>
      <c r="GH82" s="4"/>
      <c r="GI82" s="4"/>
      <c r="GJ82" s="4"/>
      <c r="GK82" s="4"/>
      <c r="GL82" s="4"/>
      <c r="GM82" s="4"/>
      <c r="GN82" s="4"/>
      <c r="GO82" s="4"/>
      <c r="GP82" s="4"/>
      <c r="GQ82" s="4"/>
      <c r="GR82" s="4"/>
      <c r="GS82" s="4"/>
      <c r="GT82" s="4"/>
      <c r="GU82" s="4"/>
      <c r="GV82" s="4"/>
      <c r="GW82" s="4"/>
      <c r="GX82" s="4">
        <v>0</v>
      </c>
      <c r="IF82">
        <v>-1</v>
      </c>
    </row>
    <row r="83" spans="1:240" x14ac:dyDescent="0.2">
      <c r="IF83">
        <v>-1</v>
      </c>
    </row>
    <row r="84" spans="1:240" x14ac:dyDescent="0.2">
      <c r="A84" s="5">
        <v>50</v>
      </c>
      <c r="B84" s="5">
        <v>0</v>
      </c>
      <c r="C84" s="5">
        <v>0</v>
      </c>
      <c r="D84" s="5">
        <v>1</v>
      </c>
      <c r="E84" s="5">
        <v>201</v>
      </c>
      <c r="F84" s="5">
        <f>ROUND(Source!O82,O84)</f>
        <v>46058</v>
      </c>
      <c r="G84" s="5" t="s">
        <v>109</v>
      </c>
      <c r="H84" s="5" t="s">
        <v>110</v>
      </c>
      <c r="I84" s="5"/>
      <c r="J84" s="5"/>
      <c r="K84" s="5">
        <v>201</v>
      </c>
      <c r="L84" s="5">
        <v>1</v>
      </c>
      <c r="M84" s="5">
        <v>3</v>
      </c>
      <c r="N84" s="5" t="s">
        <v>6</v>
      </c>
      <c r="O84" s="5">
        <v>0</v>
      </c>
      <c r="P84" s="5">
        <f>ROUND(Source!DG82,O84)</f>
        <v>642292</v>
      </c>
      <c r="Q84" s="5"/>
      <c r="R84" s="5"/>
      <c r="S84" s="5"/>
      <c r="T84" s="5"/>
      <c r="U84" s="5"/>
      <c r="V84" s="5"/>
      <c r="W84" s="5">
        <v>46058</v>
      </c>
      <c r="X84" s="5">
        <v>1</v>
      </c>
      <c r="Y84" s="5">
        <v>46058</v>
      </c>
      <c r="Z84" s="5">
        <v>642292</v>
      </c>
      <c r="AA84" s="5">
        <v>1</v>
      </c>
      <c r="AB84" s="5">
        <v>642292</v>
      </c>
      <c r="IF84">
        <v>-1</v>
      </c>
    </row>
    <row r="85" spans="1:240" x14ac:dyDescent="0.2">
      <c r="A85" s="5">
        <v>50</v>
      </c>
      <c r="B85" s="5">
        <v>0</v>
      </c>
      <c r="C85" s="5">
        <v>0</v>
      </c>
      <c r="D85" s="5">
        <v>1</v>
      </c>
      <c r="E85" s="5">
        <v>202</v>
      </c>
      <c r="F85" s="5">
        <f>ROUND(Source!P82,O85)</f>
        <v>31709</v>
      </c>
      <c r="G85" s="5" t="s">
        <v>111</v>
      </c>
      <c r="H85" s="5" t="s">
        <v>112</v>
      </c>
      <c r="I85" s="5"/>
      <c r="J85" s="5"/>
      <c r="K85" s="5">
        <v>202</v>
      </c>
      <c r="L85" s="5">
        <v>2</v>
      </c>
      <c r="M85" s="5">
        <v>3</v>
      </c>
      <c r="N85" s="5" t="s">
        <v>6</v>
      </c>
      <c r="O85" s="5">
        <v>0</v>
      </c>
      <c r="P85" s="5">
        <f>ROUND(Source!DH82,O85)</f>
        <v>159520</v>
      </c>
      <c r="Q85" s="5"/>
      <c r="R85" s="5"/>
      <c r="S85" s="5"/>
      <c r="T85" s="5"/>
      <c r="U85" s="5"/>
      <c r="V85" s="5"/>
      <c r="W85" s="5">
        <v>31709</v>
      </c>
      <c r="X85" s="5">
        <v>1</v>
      </c>
      <c r="Y85" s="5">
        <v>31709</v>
      </c>
      <c r="Z85" s="5">
        <v>159520</v>
      </c>
      <c r="AA85" s="5">
        <v>1</v>
      </c>
      <c r="AB85" s="5">
        <v>159520</v>
      </c>
      <c r="IF85">
        <v>-1</v>
      </c>
    </row>
    <row r="86" spans="1:240" x14ac:dyDescent="0.2">
      <c r="A86" s="5">
        <v>50</v>
      </c>
      <c r="B86" s="5">
        <v>0</v>
      </c>
      <c r="C86" s="5">
        <v>0</v>
      </c>
      <c r="D86" s="5">
        <v>1</v>
      </c>
      <c r="E86" s="5">
        <v>222</v>
      </c>
      <c r="F86" s="5">
        <f>ROUND(Source!AO82,O86)</f>
        <v>0</v>
      </c>
      <c r="G86" s="5" t="s">
        <v>113</v>
      </c>
      <c r="H86" s="5" t="s">
        <v>114</v>
      </c>
      <c r="I86" s="5"/>
      <c r="J86" s="5"/>
      <c r="K86" s="5">
        <v>222</v>
      </c>
      <c r="L86" s="5">
        <v>3</v>
      </c>
      <c r="M86" s="5">
        <v>3</v>
      </c>
      <c r="N86" s="5" t="s">
        <v>6</v>
      </c>
      <c r="O86" s="5">
        <v>0</v>
      </c>
      <c r="P86" s="5">
        <f>ROUND(Source!EG82,O86)</f>
        <v>0</v>
      </c>
      <c r="Q86" s="5"/>
      <c r="R86" s="5"/>
      <c r="S86" s="5"/>
      <c r="T86" s="5"/>
      <c r="U86" s="5"/>
      <c r="V86" s="5"/>
      <c r="W86" s="5">
        <v>0</v>
      </c>
      <c r="X86" s="5">
        <v>1</v>
      </c>
      <c r="Y86" s="5">
        <v>0</v>
      </c>
      <c r="Z86" s="5">
        <v>0</v>
      </c>
      <c r="AA86" s="5">
        <v>1</v>
      </c>
      <c r="AB86" s="5">
        <v>0</v>
      </c>
      <c r="IF86">
        <v>-1</v>
      </c>
    </row>
    <row r="87" spans="1:240" x14ac:dyDescent="0.2">
      <c r="A87" s="5">
        <v>50</v>
      </c>
      <c r="B87" s="5">
        <v>0</v>
      </c>
      <c r="C87" s="5">
        <v>0</v>
      </c>
      <c r="D87" s="5">
        <v>1</v>
      </c>
      <c r="E87" s="5">
        <v>225</v>
      </c>
      <c r="F87" s="5">
        <f>ROUND(Source!AV82,O87)</f>
        <v>31709</v>
      </c>
      <c r="G87" s="5" t="s">
        <v>115</v>
      </c>
      <c r="H87" s="5" t="s">
        <v>116</v>
      </c>
      <c r="I87" s="5"/>
      <c r="J87" s="5"/>
      <c r="K87" s="5">
        <v>225</v>
      </c>
      <c r="L87" s="5">
        <v>4</v>
      </c>
      <c r="M87" s="5">
        <v>3</v>
      </c>
      <c r="N87" s="5" t="s">
        <v>6</v>
      </c>
      <c r="O87" s="5">
        <v>0</v>
      </c>
      <c r="P87" s="5">
        <f>ROUND(Source!EN82,O87)</f>
        <v>159520</v>
      </c>
      <c r="Q87" s="5"/>
      <c r="R87" s="5"/>
      <c r="S87" s="5"/>
      <c r="T87" s="5"/>
      <c r="U87" s="5"/>
      <c r="V87" s="5"/>
      <c r="W87" s="5">
        <v>31709</v>
      </c>
      <c r="X87" s="5">
        <v>1</v>
      </c>
      <c r="Y87" s="5">
        <v>31709</v>
      </c>
      <c r="Z87" s="5">
        <v>159520</v>
      </c>
      <c r="AA87" s="5">
        <v>1</v>
      </c>
      <c r="AB87" s="5">
        <v>159520</v>
      </c>
      <c r="IF87">
        <v>-1</v>
      </c>
    </row>
    <row r="88" spans="1:240" x14ac:dyDescent="0.2">
      <c r="A88" s="5">
        <v>50</v>
      </c>
      <c r="B88" s="5">
        <v>0</v>
      </c>
      <c r="C88" s="5">
        <v>0</v>
      </c>
      <c r="D88" s="5">
        <v>1</v>
      </c>
      <c r="E88" s="5">
        <v>226</v>
      </c>
      <c r="F88" s="5">
        <f>ROUND(Source!AW82,O88)</f>
        <v>31709</v>
      </c>
      <c r="G88" s="5" t="s">
        <v>117</v>
      </c>
      <c r="H88" s="5" t="s">
        <v>118</v>
      </c>
      <c r="I88" s="5"/>
      <c r="J88" s="5"/>
      <c r="K88" s="5">
        <v>226</v>
      </c>
      <c r="L88" s="5">
        <v>5</v>
      </c>
      <c r="M88" s="5">
        <v>3</v>
      </c>
      <c r="N88" s="5" t="s">
        <v>6</v>
      </c>
      <c r="O88" s="5">
        <v>0</v>
      </c>
      <c r="P88" s="5">
        <f>ROUND(Source!EO82,O88)</f>
        <v>159520</v>
      </c>
      <c r="Q88" s="5"/>
      <c r="R88" s="5"/>
      <c r="S88" s="5"/>
      <c r="T88" s="5"/>
      <c r="U88" s="5"/>
      <c r="V88" s="5"/>
      <c r="W88" s="5">
        <v>31709</v>
      </c>
      <c r="X88" s="5">
        <v>1</v>
      </c>
      <c r="Y88" s="5">
        <v>31709</v>
      </c>
      <c r="Z88" s="5">
        <v>159520</v>
      </c>
      <c r="AA88" s="5">
        <v>1</v>
      </c>
      <c r="AB88" s="5">
        <v>159520</v>
      </c>
      <c r="IF88">
        <v>-1</v>
      </c>
    </row>
    <row r="89" spans="1:240" x14ac:dyDescent="0.2">
      <c r="A89" s="5">
        <v>50</v>
      </c>
      <c r="B89" s="5">
        <v>0</v>
      </c>
      <c r="C89" s="5">
        <v>0</v>
      </c>
      <c r="D89" s="5">
        <v>1</v>
      </c>
      <c r="E89" s="5">
        <v>227</v>
      </c>
      <c r="F89" s="5">
        <f>ROUND(Source!AX82,O89)</f>
        <v>0</v>
      </c>
      <c r="G89" s="5" t="s">
        <v>119</v>
      </c>
      <c r="H89" s="5" t="s">
        <v>120</v>
      </c>
      <c r="I89" s="5"/>
      <c r="J89" s="5"/>
      <c r="K89" s="5">
        <v>227</v>
      </c>
      <c r="L89" s="5">
        <v>6</v>
      </c>
      <c r="M89" s="5">
        <v>3</v>
      </c>
      <c r="N89" s="5" t="s">
        <v>6</v>
      </c>
      <c r="O89" s="5">
        <v>0</v>
      </c>
      <c r="P89" s="5">
        <f>ROUND(Source!EP82,O89)</f>
        <v>0</v>
      </c>
      <c r="Q89" s="5"/>
      <c r="R89" s="5"/>
      <c r="S89" s="5"/>
      <c r="T89" s="5"/>
      <c r="U89" s="5"/>
      <c r="V89" s="5"/>
      <c r="W89" s="5">
        <v>0</v>
      </c>
      <c r="X89" s="5">
        <v>1</v>
      </c>
      <c r="Y89" s="5">
        <v>0</v>
      </c>
      <c r="Z89" s="5">
        <v>0</v>
      </c>
      <c r="AA89" s="5">
        <v>1</v>
      </c>
      <c r="AB89" s="5">
        <v>0</v>
      </c>
      <c r="IF89">
        <v>-1</v>
      </c>
    </row>
    <row r="90" spans="1:240" x14ac:dyDescent="0.2">
      <c r="A90" s="5">
        <v>50</v>
      </c>
      <c r="B90" s="5">
        <v>0</v>
      </c>
      <c r="C90" s="5">
        <v>0</v>
      </c>
      <c r="D90" s="5">
        <v>1</v>
      </c>
      <c r="E90" s="5">
        <v>228</v>
      </c>
      <c r="F90" s="5">
        <f>ROUND(Source!AY82,O90)</f>
        <v>31709</v>
      </c>
      <c r="G90" s="5" t="s">
        <v>121</v>
      </c>
      <c r="H90" s="5" t="s">
        <v>122</v>
      </c>
      <c r="I90" s="5"/>
      <c r="J90" s="5"/>
      <c r="K90" s="5">
        <v>228</v>
      </c>
      <c r="L90" s="5">
        <v>7</v>
      </c>
      <c r="M90" s="5">
        <v>3</v>
      </c>
      <c r="N90" s="5" t="s">
        <v>6</v>
      </c>
      <c r="O90" s="5">
        <v>0</v>
      </c>
      <c r="P90" s="5">
        <f>ROUND(Source!EQ82,O90)</f>
        <v>159520</v>
      </c>
      <c r="Q90" s="5"/>
      <c r="R90" s="5"/>
      <c r="S90" s="5"/>
      <c r="T90" s="5"/>
      <c r="U90" s="5"/>
      <c r="V90" s="5"/>
      <c r="W90" s="5">
        <v>31709</v>
      </c>
      <c r="X90" s="5">
        <v>1</v>
      </c>
      <c r="Y90" s="5">
        <v>31709</v>
      </c>
      <c r="Z90" s="5">
        <v>159520</v>
      </c>
      <c r="AA90" s="5">
        <v>1</v>
      </c>
      <c r="AB90" s="5">
        <v>159520</v>
      </c>
      <c r="IF90">
        <v>-1</v>
      </c>
    </row>
    <row r="91" spans="1:240" x14ac:dyDescent="0.2">
      <c r="A91" s="5">
        <v>50</v>
      </c>
      <c r="B91" s="5">
        <v>0</v>
      </c>
      <c r="C91" s="5">
        <v>0</v>
      </c>
      <c r="D91" s="5">
        <v>1</v>
      </c>
      <c r="E91" s="5">
        <v>216</v>
      </c>
      <c r="F91" s="5">
        <f>ROUND(Source!AP82,O91)</f>
        <v>0</v>
      </c>
      <c r="G91" s="5" t="s">
        <v>123</v>
      </c>
      <c r="H91" s="5" t="s">
        <v>124</v>
      </c>
      <c r="I91" s="5"/>
      <c r="J91" s="5"/>
      <c r="K91" s="5">
        <v>216</v>
      </c>
      <c r="L91" s="5">
        <v>8</v>
      </c>
      <c r="M91" s="5">
        <v>3</v>
      </c>
      <c r="N91" s="5" t="s">
        <v>6</v>
      </c>
      <c r="O91" s="5">
        <v>0</v>
      </c>
      <c r="P91" s="5">
        <f>ROUND(Source!EH82,O91)</f>
        <v>0</v>
      </c>
      <c r="Q91" s="5"/>
      <c r="R91" s="5"/>
      <c r="S91" s="5"/>
      <c r="T91" s="5"/>
      <c r="U91" s="5"/>
      <c r="V91" s="5"/>
      <c r="W91" s="5">
        <v>0</v>
      </c>
      <c r="X91" s="5">
        <v>1</v>
      </c>
      <c r="Y91" s="5">
        <v>0</v>
      </c>
      <c r="Z91" s="5">
        <v>0</v>
      </c>
      <c r="AA91" s="5">
        <v>1</v>
      </c>
      <c r="AB91" s="5">
        <v>0</v>
      </c>
      <c r="IF91">
        <v>-1</v>
      </c>
    </row>
    <row r="92" spans="1:240" x14ac:dyDescent="0.2">
      <c r="A92" s="5">
        <v>50</v>
      </c>
      <c r="B92" s="5">
        <v>0</v>
      </c>
      <c r="C92" s="5">
        <v>0</v>
      </c>
      <c r="D92" s="5">
        <v>1</v>
      </c>
      <c r="E92" s="5">
        <v>223</v>
      </c>
      <c r="F92" s="5">
        <f>ROUND(Source!AQ82,O92)</f>
        <v>0</v>
      </c>
      <c r="G92" s="5" t="s">
        <v>125</v>
      </c>
      <c r="H92" s="5" t="s">
        <v>126</v>
      </c>
      <c r="I92" s="5"/>
      <c r="J92" s="5"/>
      <c r="K92" s="5">
        <v>223</v>
      </c>
      <c r="L92" s="5">
        <v>9</v>
      </c>
      <c r="M92" s="5">
        <v>3</v>
      </c>
      <c r="N92" s="5" t="s">
        <v>6</v>
      </c>
      <c r="O92" s="5">
        <v>0</v>
      </c>
      <c r="P92" s="5">
        <f>ROUND(Source!EI82,O92)</f>
        <v>0</v>
      </c>
      <c r="Q92" s="5"/>
      <c r="R92" s="5"/>
      <c r="S92" s="5"/>
      <c r="T92" s="5"/>
      <c r="U92" s="5"/>
      <c r="V92" s="5"/>
      <c r="W92" s="5">
        <v>0</v>
      </c>
      <c r="X92" s="5">
        <v>1</v>
      </c>
      <c r="Y92" s="5">
        <v>0</v>
      </c>
      <c r="Z92" s="5">
        <v>0</v>
      </c>
      <c r="AA92" s="5">
        <v>1</v>
      </c>
      <c r="AB92" s="5">
        <v>0</v>
      </c>
      <c r="IF92">
        <v>-1</v>
      </c>
    </row>
    <row r="93" spans="1:240" x14ac:dyDescent="0.2">
      <c r="A93" s="5">
        <v>50</v>
      </c>
      <c r="B93" s="5">
        <v>0</v>
      </c>
      <c r="C93" s="5">
        <v>0</v>
      </c>
      <c r="D93" s="5">
        <v>1</v>
      </c>
      <c r="E93" s="5">
        <v>229</v>
      </c>
      <c r="F93" s="5">
        <f>ROUND(Source!AZ82,O93)</f>
        <v>0</v>
      </c>
      <c r="G93" s="5" t="s">
        <v>127</v>
      </c>
      <c r="H93" s="5" t="s">
        <v>128</v>
      </c>
      <c r="I93" s="5"/>
      <c r="J93" s="5"/>
      <c r="K93" s="5">
        <v>229</v>
      </c>
      <c r="L93" s="5">
        <v>10</v>
      </c>
      <c r="M93" s="5">
        <v>3</v>
      </c>
      <c r="N93" s="5" t="s">
        <v>6</v>
      </c>
      <c r="O93" s="5">
        <v>0</v>
      </c>
      <c r="P93" s="5">
        <f>ROUND(Source!ER82,O93)</f>
        <v>0</v>
      </c>
      <c r="Q93" s="5"/>
      <c r="R93" s="5"/>
      <c r="S93" s="5"/>
      <c r="T93" s="5"/>
      <c r="U93" s="5"/>
      <c r="V93" s="5"/>
      <c r="W93" s="5">
        <v>0</v>
      </c>
      <c r="X93" s="5">
        <v>1</v>
      </c>
      <c r="Y93" s="5">
        <v>0</v>
      </c>
      <c r="Z93" s="5">
        <v>0</v>
      </c>
      <c r="AA93" s="5">
        <v>1</v>
      </c>
      <c r="AB93" s="5">
        <v>0</v>
      </c>
      <c r="IF93">
        <v>-1</v>
      </c>
    </row>
    <row r="94" spans="1:240" x14ac:dyDescent="0.2">
      <c r="A94" s="5">
        <v>50</v>
      </c>
      <c r="B94" s="5">
        <v>0</v>
      </c>
      <c r="C94" s="5">
        <v>0</v>
      </c>
      <c r="D94" s="5">
        <v>1</v>
      </c>
      <c r="E94" s="5">
        <v>203</v>
      </c>
      <c r="F94" s="5">
        <f>ROUND(Source!Q82,O94)</f>
        <v>711</v>
      </c>
      <c r="G94" s="5" t="s">
        <v>129</v>
      </c>
      <c r="H94" s="5" t="s">
        <v>130</v>
      </c>
      <c r="I94" s="5"/>
      <c r="J94" s="5"/>
      <c r="K94" s="5">
        <v>203</v>
      </c>
      <c r="L94" s="5">
        <v>11</v>
      </c>
      <c r="M94" s="5">
        <v>3</v>
      </c>
      <c r="N94" s="5" t="s">
        <v>6</v>
      </c>
      <c r="O94" s="5">
        <v>0</v>
      </c>
      <c r="P94" s="5">
        <f>ROUND(Source!DI82,O94)</f>
        <v>9086</v>
      </c>
      <c r="Q94" s="5"/>
      <c r="R94" s="5"/>
      <c r="S94" s="5"/>
      <c r="T94" s="5"/>
      <c r="U94" s="5"/>
      <c r="V94" s="5"/>
      <c r="W94" s="5">
        <v>711</v>
      </c>
      <c r="X94" s="5">
        <v>1</v>
      </c>
      <c r="Y94" s="5">
        <v>711</v>
      </c>
      <c r="Z94" s="5">
        <v>9086</v>
      </c>
      <c r="AA94" s="5">
        <v>1</v>
      </c>
      <c r="AB94" s="5">
        <v>9086</v>
      </c>
      <c r="IF94">
        <v>-1</v>
      </c>
    </row>
    <row r="95" spans="1:240" x14ac:dyDescent="0.2">
      <c r="A95" s="5">
        <v>50</v>
      </c>
      <c r="B95" s="5">
        <v>0</v>
      </c>
      <c r="C95" s="5">
        <v>0</v>
      </c>
      <c r="D95" s="5">
        <v>1</v>
      </c>
      <c r="E95" s="5">
        <v>231</v>
      </c>
      <c r="F95" s="5">
        <f>ROUND(Source!BB82,O95)</f>
        <v>0</v>
      </c>
      <c r="G95" s="5" t="s">
        <v>131</v>
      </c>
      <c r="H95" s="5" t="s">
        <v>132</v>
      </c>
      <c r="I95" s="5"/>
      <c r="J95" s="5"/>
      <c r="K95" s="5">
        <v>231</v>
      </c>
      <c r="L95" s="5">
        <v>12</v>
      </c>
      <c r="M95" s="5">
        <v>3</v>
      </c>
      <c r="N95" s="5" t="s">
        <v>6</v>
      </c>
      <c r="O95" s="5">
        <v>0</v>
      </c>
      <c r="P95" s="5">
        <f>ROUND(Source!ET82,O95)</f>
        <v>0</v>
      </c>
      <c r="Q95" s="5"/>
      <c r="R95" s="5"/>
      <c r="S95" s="5"/>
      <c r="T95" s="5"/>
      <c r="U95" s="5"/>
      <c r="V95" s="5"/>
      <c r="W95" s="5">
        <v>0</v>
      </c>
      <c r="X95" s="5">
        <v>1</v>
      </c>
      <c r="Y95" s="5">
        <v>0</v>
      </c>
      <c r="Z95" s="5">
        <v>0</v>
      </c>
      <c r="AA95" s="5">
        <v>1</v>
      </c>
      <c r="AB95" s="5">
        <v>0</v>
      </c>
      <c r="IF95">
        <v>-1</v>
      </c>
    </row>
    <row r="96" spans="1:240" x14ac:dyDescent="0.2">
      <c r="A96" s="5">
        <v>50</v>
      </c>
      <c r="B96" s="5">
        <v>0</v>
      </c>
      <c r="C96" s="5">
        <v>0</v>
      </c>
      <c r="D96" s="5">
        <v>1</v>
      </c>
      <c r="E96" s="5">
        <v>204</v>
      </c>
      <c r="F96" s="5">
        <f>ROUND(Source!R82,O96)</f>
        <v>27</v>
      </c>
      <c r="G96" s="5" t="s">
        <v>133</v>
      </c>
      <c r="H96" s="5" t="s">
        <v>134</v>
      </c>
      <c r="I96" s="5"/>
      <c r="J96" s="5"/>
      <c r="K96" s="5">
        <v>204</v>
      </c>
      <c r="L96" s="5">
        <v>13</v>
      </c>
      <c r="M96" s="5">
        <v>3</v>
      </c>
      <c r="N96" s="5" t="s">
        <v>6</v>
      </c>
      <c r="O96" s="5">
        <v>0</v>
      </c>
      <c r="P96" s="5">
        <f>ROUND(Source!DJ82,O96)</f>
        <v>768</v>
      </c>
      <c r="Q96" s="5"/>
      <c r="R96" s="5"/>
      <c r="S96" s="5"/>
      <c r="T96" s="5"/>
      <c r="U96" s="5"/>
      <c r="V96" s="5"/>
      <c r="W96" s="5">
        <v>27</v>
      </c>
      <c r="X96" s="5">
        <v>1</v>
      </c>
      <c r="Y96" s="5">
        <v>27</v>
      </c>
      <c r="Z96" s="5">
        <v>768</v>
      </c>
      <c r="AA96" s="5">
        <v>1</v>
      </c>
      <c r="AB96" s="5">
        <v>768</v>
      </c>
      <c r="IF96">
        <v>-1</v>
      </c>
    </row>
    <row r="97" spans="1:240" x14ac:dyDescent="0.2">
      <c r="A97" s="5">
        <v>50</v>
      </c>
      <c r="B97" s="5">
        <v>0</v>
      </c>
      <c r="C97" s="5">
        <v>0</v>
      </c>
      <c r="D97" s="5">
        <v>1</v>
      </c>
      <c r="E97" s="5">
        <v>205</v>
      </c>
      <c r="F97" s="5">
        <f>ROUND(Source!S82,O97)</f>
        <v>13638</v>
      </c>
      <c r="G97" s="5" t="s">
        <v>135</v>
      </c>
      <c r="H97" s="5" t="s">
        <v>136</v>
      </c>
      <c r="I97" s="5"/>
      <c r="J97" s="5"/>
      <c r="K97" s="5">
        <v>205</v>
      </c>
      <c r="L97" s="5">
        <v>14</v>
      </c>
      <c r="M97" s="5">
        <v>3</v>
      </c>
      <c r="N97" s="5" t="s">
        <v>6</v>
      </c>
      <c r="O97" s="5">
        <v>0</v>
      </c>
      <c r="P97" s="5">
        <f>ROUND(Source!DK82,O97)</f>
        <v>473686</v>
      </c>
      <c r="Q97" s="5"/>
      <c r="R97" s="5"/>
      <c r="S97" s="5"/>
      <c r="T97" s="5"/>
      <c r="U97" s="5"/>
      <c r="V97" s="5"/>
      <c r="W97" s="5">
        <v>13638</v>
      </c>
      <c r="X97" s="5">
        <v>1</v>
      </c>
      <c r="Y97" s="5">
        <v>13638</v>
      </c>
      <c r="Z97" s="5">
        <v>473686</v>
      </c>
      <c r="AA97" s="5">
        <v>1</v>
      </c>
      <c r="AB97" s="5">
        <v>473686</v>
      </c>
      <c r="IF97">
        <v>-1</v>
      </c>
    </row>
    <row r="98" spans="1:240" x14ac:dyDescent="0.2">
      <c r="A98" s="5">
        <v>50</v>
      </c>
      <c r="B98" s="5">
        <v>0</v>
      </c>
      <c r="C98" s="5">
        <v>0</v>
      </c>
      <c r="D98" s="5">
        <v>1</v>
      </c>
      <c r="E98" s="5">
        <v>232</v>
      </c>
      <c r="F98" s="5">
        <f>ROUND(Source!BC82,O98)</f>
        <v>0</v>
      </c>
      <c r="G98" s="5" t="s">
        <v>137</v>
      </c>
      <c r="H98" s="5" t="s">
        <v>138</v>
      </c>
      <c r="I98" s="5"/>
      <c r="J98" s="5"/>
      <c r="K98" s="5">
        <v>232</v>
      </c>
      <c r="L98" s="5">
        <v>15</v>
      </c>
      <c r="M98" s="5">
        <v>3</v>
      </c>
      <c r="N98" s="5" t="s">
        <v>6</v>
      </c>
      <c r="O98" s="5">
        <v>0</v>
      </c>
      <c r="P98" s="5">
        <f>ROUND(Source!EU82,O98)</f>
        <v>0</v>
      </c>
      <c r="Q98" s="5"/>
      <c r="R98" s="5"/>
      <c r="S98" s="5"/>
      <c r="T98" s="5"/>
      <c r="U98" s="5"/>
      <c r="V98" s="5"/>
      <c r="W98" s="5">
        <v>0</v>
      </c>
      <c r="X98" s="5">
        <v>1</v>
      </c>
      <c r="Y98" s="5">
        <v>0</v>
      </c>
      <c r="Z98" s="5">
        <v>0</v>
      </c>
      <c r="AA98" s="5">
        <v>1</v>
      </c>
      <c r="AB98" s="5">
        <v>0</v>
      </c>
      <c r="IF98">
        <v>-1</v>
      </c>
    </row>
    <row r="99" spans="1:240" x14ac:dyDescent="0.2">
      <c r="A99" s="5">
        <v>50</v>
      </c>
      <c r="B99" s="5">
        <v>0</v>
      </c>
      <c r="C99" s="5">
        <v>0</v>
      </c>
      <c r="D99" s="5">
        <v>1</v>
      </c>
      <c r="E99" s="5">
        <v>214</v>
      </c>
      <c r="F99" s="5">
        <f>ROUND(Source!AS82,O99)</f>
        <v>67921</v>
      </c>
      <c r="G99" s="5" t="s">
        <v>139</v>
      </c>
      <c r="H99" s="5" t="s">
        <v>140</v>
      </c>
      <c r="I99" s="5"/>
      <c r="J99" s="5"/>
      <c r="K99" s="5">
        <v>214</v>
      </c>
      <c r="L99" s="5">
        <v>16</v>
      </c>
      <c r="M99" s="5">
        <v>3</v>
      </c>
      <c r="N99" s="5" t="s">
        <v>6</v>
      </c>
      <c r="O99" s="5">
        <v>0</v>
      </c>
      <c r="P99" s="5" t="e">
        <f>ROUND(Source!EK82,O99)</f>
        <v>#REF!</v>
      </c>
      <c r="Q99" s="5"/>
      <c r="R99" s="5"/>
      <c r="S99" s="5"/>
      <c r="T99" s="5"/>
      <c r="U99" s="5"/>
      <c r="V99" s="5"/>
      <c r="W99" s="5">
        <v>52385</v>
      </c>
      <c r="X99" s="5">
        <v>1</v>
      </c>
      <c r="Y99" s="5">
        <v>52385</v>
      </c>
      <c r="Z99" s="5">
        <v>1339606</v>
      </c>
      <c r="AA99" s="5">
        <v>1</v>
      </c>
      <c r="AB99" s="5">
        <v>1339606</v>
      </c>
      <c r="IF99">
        <v>-1</v>
      </c>
    </row>
    <row r="100" spans="1:240" x14ac:dyDescent="0.2">
      <c r="A100" s="5">
        <v>50</v>
      </c>
      <c r="B100" s="5">
        <v>0</v>
      </c>
      <c r="C100" s="5">
        <v>0</v>
      </c>
      <c r="D100" s="5">
        <v>1</v>
      </c>
      <c r="E100" s="5">
        <v>215</v>
      </c>
      <c r="F100" s="5">
        <f>ROUND(Source!AT82,O100)</f>
        <v>0</v>
      </c>
      <c r="G100" s="5" t="s">
        <v>141</v>
      </c>
      <c r="H100" s="5" t="s">
        <v>142</v>
      </c>
      <c r="I100" s="5"/>
      <c r="J100" s="5"/>
      <c r="K100" s="5">
        <v>215</v>
      </c>
      <c r="L100" s="5">
        <v>17</v>
      </c>
      <c r="M100" s="5">
        <v>3</v>
      </c>
      <c r="N100" s="5" t="s">
        <v>6</v>
      </c>
      <c r="O100" s="5">
        <v>0</v>
      </c>
      <c r="P100" s="5">
        <f>ROUND(Source!EL82,O100)</f>
        <v>0</v>
      </c>
      <c r="Q100" s="5"/>
      <c r="R100" s="5"/>
      <c r="S100" s="5"/>
      <c r="T100" s="5"/>
      <c r="U100" s="5"/>
      <c r="V100" s="5"/>
      <c r="W100" s="5">
        <v>0</v>
      </c>
      <c r="X100" s="5">
        <v>1</v>
      </c>
      <c r="Y100" s="5">
        <v>0</v>
      </c>
      <c r="Z100" s="5">
        <v>0</v>
      </c>
      <c r="AA100" s="5">
        <v>1</v>
      </c>
      <c r="AB100" s="5">
        <v>0</v>
      </c>
      <c r="IF100">
        <v>-1</v>
      </c>
    </row>
    <row r="101" spans="1:240" x14ac:dyDescent="0.2">
      <c r="A101" s="5">
        <v>50</v>
      </c>
      <c r="B101" s="5">
        <v>0</v>
      </c>
      <c r="C101" s="5">
        <v>0</v>
      </c>
      <c r="D101" s="5">
        <v>1</v>
      </c>
      <c r="E101" s="5">
        <v>217</v>
      </c>
      <c r="F101" s="5">
        <f>ROUND(Source!AU82,O101)</f>
        <v>0</v>
      </c>
      <c r="G101" s="5" t="s">
        <v>143</v>
      </c>
      <c r="H101" s="5" t="s">
        <v>144</v>
      </c>
      <c r="I101" s="5"/>
      <c r="J101" s="5"/>
      <c r="K101" s="5">
        <v>217</v>
      </c>
      <c r="L101" s="5">
        <v>18</v>
      </c>
      <c r="M101" s="5">
        <v>3</v>
      </c>
      <c r="N101" s="5" t="s">
        <v>6</v>
      </c>
      <c r="O101" s="5">
        <v>0</v>
      </c>
      <c r="P101" s="5">
        <f>ROUND(Source!EM82,O101)</f>
        <v>0</v>
      </c>
      <c r="Q101" s="5"/>
      <c r="R101" s="5"/>
      <c r="S101" s="5"/>
      <c r="T101" s="5"/>
      <c r="U101" s="5"/>
      <c r="V101" s="5"/>
      <c r="W101" s="5">
        <v>0</v>
      </c>
      <c r="X101" s="5">
        <v>1</v>
      </c>
      <c r="Y101" s="5">
        <v>0</v>
      </c>
      <c r="Z101" s="5">
        <v>0</v>
      </c>
      <c r="AA101" s="5">
        <v>1</v>
      </c>
      <c r="AB101" s="5">
        <v>0</v>
      </c>
      <c r="IF101">
        <v>-1</v>
      </c>
    </row>
    <row r="102" spans="1:240" x14ac:dyDescent="0.2">
      <c r="A102" s="5">
        <v>50</v>
      </c>
      <c r="B102" s="5">
        <v>0</v>
      </c>
      <c r="C102" s="5">
        <v>0</v>
      </c>
      <c r="D102" s="5">
        <v>1</v>
      </c>
      <c r="E102" s="5">
        <v>230</v>
      </c>
      <c r="F102" s="5">
        <f>ROUND(Source!BA82,O102)</f>
        <v>0</v>
      </c>
      <c r="G102" s="5" t="s">
        <v>145</v>
      </c>
      <c r="H102" s="5" t="s">
        <v>146</v>
      </c>
      <c r="I102" s="5"/>
      <c r="J102" s="5"/>
      <c r="K102" s="5">
        <v>230</v>
      </c>
      <c r="L102" s="5">
        <v>19</v>
      </c>
      <c r="M102" s="5">
        <v>3</v>
      </c>
      <c r="N102" s="5" t="s">
        <v>6</v>
      </c>
      <c r="O102" s="5">
        <v>0</v>
      </c>
      <c r="P102" s="5">
        <f>ROUND(Source!ES82,O102)</f>
        <v>0</v>
      </c>
      <c r="Q102" s="5"/>
      <c r="R102" s="5"/>
      <c r="S102" s="5"/>
      <c r="T102" s="5"/>
      <c r="U102" s="5"/>
      <c r="V102" s="5"/>
      <c r="W102" s="5">
        <v>0</v>
      </c>
      <c r="X102" s="5">
        <v>1</v>
      </c>
      <c r="Y102" s="5">
        <v>0</v>
      </c>
      <c r="Z102" s="5">
        <v>0</v>
      </c>
      <c r="AA102" s="5">
        <v>1</v>
      </c>
      <c r="AB102" s="5">
        <v>0</v>
      </c>
      <c r="IF102">
        <v>-1</v>
      </c>
    </row>
    <row r="103" spans="1:240" x14ac:dyDescent="0.2">
      <c r="A103" s="5">
        <v>50</v>
      </c>
      <c r="B103" s="5">
        <v>0</v>
      </c>
      <c r="C103" s="5">
        <v>0</v>
      </c>
      <c r="D103" s="5">
        <v>1</v>
      </c>
      <c r="E103" s="5">
        <v>206</v>
      </c>
      <c r="F103" s="5">
        <f>ROUND(Source!T82,O103)</f>
        <v>0</v>
      </c>
      <c r="G103" s="5" t="s">
        <v>147</v>
      </c>
      <c r="H103" s="5" t="s">
        <v>148</v>
      </c>
      <c r="I103" s="5"/>
      <c r="J103" s="5"/>
      <c r="K103" s="5">
        <v>206</v>
      </c>
      <c r="L103" s="5">
        <v>20</v>
      </c>
      <c r="M103" s="5">
        <v>3</v>
      </c>
      <c r="N103" s="5" t="s">
        <v>6</v>
      </c>
      <c r="O103" s="5">
        <v>0</v>
      </c>
      <c r="P103" s="5">
        <f>ROUND(Source!DL82,O103)</f>
        <v>0</v>
      </c>
      <c r="Q103" s="5"/>
      <c r="R103" s="5"/>
      <c r="S103" s="5"/>
      <c r="T103" s="5"/>
      <c r="U103" s="5"/>
      <c r="V103" s="5"/>
      <c r="W103" s="5">
        <v>0</v>
      </c>
      <c r="X103" s="5">
        <v>1</v>
      </c>
      <c r="Y103" s="5">
        <v>0</v>
      </c>
      <c r="Z103" s="5">
        <v>0</v>
      </c>
      <c r="AA103" s="5">
        <v>1</v>
      </c>
      <c r="AB103" s="5">
        <v>0</v>
      </c>
      <c r="IF103">
        <v>-1</v>
      </c>
    </row>
    <row r="104" spans="1:240" x14ac:dyDescent="0.2">
      <c r="A104" s="5">
        <v>50</v>
      </c>
      <c r="B104" s="5">
        <v>0</v>
      </c>
      <c r="C104" s="5">
        <v>0</v>
      </c>
      <c r="D104" s="5">
        <v>1</v>
      </c>
      <c r="E104" s="5">
        <v>207</v>
      </c>
      <c r="F104" s="5">
        <f>Source!U82</f>
        <v>1404.7252799999999</v>
      </c>
      <c r="G104" s="5" t="s">
        <v>149</v>
      </c>
      <c r="H104" s="5" t="s">
        <v>150</v>
      </c>
      <c r="I104" s="5"/>
      <c r="J104" s="5"/>
      <c r="K104" s="5">
        <v>207</v>
      </c>
      <c r="L104" s="5">
        <v>21</v>
      </c>
      <c r="M104" s="5">
        <v>3</v>
      </c>
      <c r="N104" s="5" t="s">
        <v>6</v>
      </c>
      <c r="O104" s="5">
        <v>-1</v>
      </c>
      <c r="P104" s="5" t="e">
        <f>Source!DM82</f>
        <v>#REF!</v>
      </c>
      <c r="Q104" s="5"/>
      <c r="R104" s="5"/>
      <c r="S104" s="5"/>
      <c r="T104" s="5"/>
      <c r="U104" s="5"/>
      <c r="V104" s="5"/>
      <c r="W104" s="5">
        <v>1404.7252799999999</v>
      </c>
      <c r="X104" s="5">
        <v>1</v>
      </c>
      <c r="Y104" s="5">
        <v>1404.7252799999999</v>
      </c>
      <c r="Z104" s="5">
        <v>1404.7252799999999</v>
      </c>
      <c r="AA104" s="5">
        <v>1</v>
      </c>
      <c r="AB104" s="5">
        <v>1404.7252799999999</v>
      </c>
      <c r="IF104">
        <v>-1</v>
      </c>
    </row>
    <row r="105" spans="1:240" x14ac:dyDescent="0.2">
      <c r="A105" s="5">
        <v>50</v>
      </c>
      <c r="B105" s="5">
        <v>0</v>
      </c>
      <c r="C105" s="5">
        <v>0</v>
      </c>
      <c r="D105" s="5">
        <v>1</v>
      </c>
      <c r="E105" s="5">
        <v>208</v>
      </c>
      <c r="F105" s="5">
        <f>Source!V82</f>
        <v>2.3105000000000007</v>
      </c>
      <c r="G105" s="5" t="s">
        <v>151</v>
      </c>
      <c r="H105" s="5" t="s">
        <v>152</v>
      </c>
      <c r="I105" s="5"/>
      <c r="J105" s="5"/>
      <c r="K105" s="5">
        <v>208</v>
      </c>
      <c r="L105" s="5">
        <v>22</v>
      </c>
      <c r="M105" s="5">
        <v>3</v>
      </c>
      <c r="N105" s="5" t="s">
        <v>6</v>
      </c>
      <c r="O105" s="5">
        <v>-1</v>
      </c>
      <c r="P105" s="5">
        <f>Source!DN82</f>
        <v>2.3105000000000007</v>
      </c>
      <c r="Q105" s="5"/>
      <c r="R105" s="5"/>
      <c r="S105" s="5"/>
      <c r="T105" s="5"/>
      <c r="U105" s="5"/>
      <c r="V105" s="5"/>
      <c r="W105" s="5">
        <v>2.3104999999999998</v>
      </c>
      <c r="X105" s="5">
        <v>1</v>
      </c>
      <c r="Y105" s="5">
        <v>2.3104999999999998</v>
      </c>
      <c r="Z105" s="5">
        <v>2.3104999999999998</v>
      </c>
      <c r="AA105" s="5">
        <v>1</v>
      </c>
      <c r="AB105" s="5">
        <v>2.3104999999999998</v>
      </c>
      <c r="IF105">
        <v>-1</v>
      </c>
    </row>
    <row r="106" spans="1:240" x14ac:dyDescent="0.2">
      <c r="A106" s="5">
        <v>50</v>
      </c>
      <c r="B106" s="5">
        <v>0</v>
      </c>
      <c r="C106" s="5">
        <v>0</v>
      </c>
      <c r="D106" s="5">
        <v>1</v>
      </c>
      <c r="E106" s="5">
        <v>209</v>
      </c>
      <c r="F106" s="5">
        <f>ROUND(Source!W82,O106)</f>
        <v>16</v>
      </c>
      <c r="G106" s="5" t="s">
        <v>153</v>
      </c>
      <c r="H106" s="5" t="s">
        <v>154</v>
      </c>
      <c r="I106" s="5"/>
      <c r="J106" s="5"/>
      <c r="K106" s="5">
        <v>209</v>
      </c>
      <c r="L106" s="5">
        <v>23</v>
      </c>
      <c r="M106" s="5">
        <v>3</v>
      </c>
      <c r="N106" s="5" t="s">
        <v>6</v>
      </c>
      <c r="O106" s="5">
        <v>0</v>
      </c>
      <c r="P106" s="5">
        <f>ROUND(Source!DO82,O106)</f>
        <v>16</v>
      </c>
      <c r="Q106" s="5"/>
      <c r="R106" s="5"/>
      <c r="S106" s="5"/>
      <c r="T106" s="5"/>
      <c r="U106" s="5"/>
      <c r="V106" s="5"/>
      <c r="W106" s="5">
        <v>16</v>
      </c>
      <c r="X106" s="5">
        <v>1</v>
      </c>
      <c r="Y106" s="5">
        <v>16</v>
      </c>
      <c r="Z106" s="5">
        <v>16</v>
      </c>
      <c r="AA106" s="5">
        <v>1</v>
      </c>
      <c r="AB106" s="5">
        <v>16</v>
      </c>
      <c r="IF106">
        <v>-1</v>
      </c>
    </row>
    <row r="107" spans="1:240" x14ac:dyDescent="0.2">
      <c r="A107" s="5">
        <v>50</v>
      </c>
      <c r="B107" s="5">
        <v>0</v>
      </c>
      <c r="C107" s="5">
        <v>0</v>
      </c>
      <c r="D107" s="5">
        <v>1</v>
      </c>
      <c r="E107" s="5">
        <v>233</v>
      </c>
      <c r="F107" s="5">
        <f>ROUND(Source!BD82,O107)</f>
        <v>0</v>
      </c>
      <c r="G107" s="5" t="s">
        <v>155</v>
      </c>
      <c r="H107" s="5" t="s">
        <v>156</v>
      </c>
      <c r="I107" s="5"/>
      <c r="J107" s="5"/>
      <c r="K107" s="5">
        <v>233</v>
      </c>
      <c r="L107" s="5">
        <v>24</v>
      </c>
      <c r="M107" s="5">
        <v>3</v>
      </c>
      <c r="N107" s="5" t="s">
        <v>6</v>
      </c>
      <c r="O107" s="5">
        <v>0</v>
      </c>
      <c r="P107" s="5">
        <f>ROUND(Source!EV82,O107)</f>
        <v>0</v>
      </c>
      <c r="Q107" s="5"/>
      <c r="R107" s="5"/>
      <c r="S107" s="5"/>
      <c r="T107" s="5"/>
      <c r="U107" s="5"/>
      <c r="V107" s="5"/>
      <c r="W107" s="5">
        <v>0</v>
      </c>
      <c r="X107" s="5">
        <v>1</v>
      </c>
      <c r="Y107" s="5">
        <v>0</v>
      </c>
      <c r="Z107" s="5">
        <v>0</v>
      </c>
      <c r="AA107" s="5">
        <v>1</v>
      </c>
      <c r="AB107" s="5">
        <v>0</v>
      </c>
      <c r="IF107">
        <v>-1</v>
      </c>
    </row>
    <row r="108" spans="1:240" x14ac:dyDescent="0.2">
      <c r="A108" s="5">
        <v>50</v>
      </c>
      <c r="B108" s="5">
        <v>0</v>
      </c>
      <c r="C108" s="5">
        <v>0</v>
      </c>
      <c r="D108" s="5">
        <v>1</v>
      </c>
      <c r="E108" s="5">
        <v>210</v>
      </c>
      <c r="F108" s="5">
        <f>ROUND(Source!X82,O108)</f>
        <v>14348</v>
      </c>
      <c r="G108" s="5" t="s">
        <v>157</v>
      </c>
      <c r="H108" s="5" t="s">
        <v>158</v>
      </c>
      <c r="I108" s="5"/>
      <c r="J108" s="5"/>
      <c r="K108" s="5">
        <v>210</v>
      </c>
      <c r="L108" s="5">
        <v>25</v>
      </c>
      <c r="M108" s="5">
        <v>3</v>
      </c>
      <c r="N108" s="5" t="s">
        <v>6</v>
      </c>
      <c r="O108" s="5">
        <v>0</v>
      </c>
      <c r="P108" s="5" t="e">
        <f>ROUND(Source!DP82,O108)</f>
        <v>#REF!</v>
      </c>
      <c r="Q108" s="5"/>
      <c r="R108" s="5"/>
      <c r="S108" s="5"/>
      <c r="T108" s="5"/>
      <c r="U108" s="5"/>
      <c r="V108" s="5"/>
      <c r="W108" s="5">
        <v>14348</v>
      </c>
      <c r="X108" s="5">
        <v>1</v>
      </c>
      <c r="Y108" s="5">
        <v>14348</v>
      </c>
      <c r="Z108" s="5">
        <v>498177</v>
      </c>
      <c r="AA108" s="5">
        <v>1</v>
      </c>
      <c r="AB108" s="5">
        <v>498177</v>
      </c>
      <c r="IF108">
        <v>-1</v>
      </c>
    </row>
    <row r="109" spans="1:240" x14ac:dyDescent="0.2">
      <c r="A109" s="5">
        <v>50</v>
      </c>
      <c r="B109" s="5">
        <v>0</v>
      </c>
      <c r="C109" s="5">
        <v>0</v>
      </c>
      <c r="D109" s="5">
        <v>1</v>
      </c>
      <c r="E109" s="5">
        <v>211</v>
      </c>
      <c r="F109" s="5">
        <f>ROUND(Source!Y82,O109)</f>
        <v>7515</v>
      </c>
      <c r="G109" s="5" t="s">
        <v>159</v>
      </c>
      <c r="H109" s="5" t="s">
        <v>160</v>
      </c>
      <c r="I109" s="5"/>
      <c r="J109" s="5"/>
      <c r="K109" s="5">
        <v>211</v>
      </c>
      <c r="L109" s="5">
        <v>26</v>
      </c>
      <c r="M109" s="5">
        <v>3</v>
      </c>
      <c r="N109" s="5" t="s">
        <v>6</v>
      </c>
      <c r="O109" s="5">
        <v>0</v>
      </c>
      <c r="P109" s="5" t="e">
        <f>ROUND(Source!DQ82,O109)</f>
        <v>#REF!</v>
      </c>
      <c r="Q109" s="5"/>
      <c r="R109" s="5"/>
      <c r="S109" s="5"/>
      <c r="T109" s="5"/>
      <c r="U109" s="5"/>
      <c r="V109" s="5"/>
      <c r="W109" s="5">
        <v>7515</v>
      </c>
      <c r="X109" s="5">
        <v>1</v>
      </c>
      <c r="Y109" s="5">
        <v>7515</v>
      </c>
      <c r="Z109" s="5">
        <v>260949</v>
      </c>
      <c r="AA109" s="5">
        <v>1</v>
      </c>
      <c r="AB109" s="5">
        <v>260949</v>
      </c>
      <c r="IF109">
        <v>-1</v>
      </c>
    </row>
    <row r="110" spans="1:240" x14ac:dyDescent="0.2">
      <c r="A110" s="5">
        <v>50</v>
      </c>
      <c r="B110" s="5">
        <v>0</v>
      </c>
      <c r="C110" s="5">
        <v>0</v>
      </c>
      <c r="D110" s="5">
        <v>1</v>
      </c>
      <c r="E110" s="5">
        <v>224</v>
      </c>
      <c r="F110" s="5">
        <f>ROUND(Source!AR82,O110)</f>
        <v>67921</v>
      </c>
      <c r="G110" s="5" t="s">
        <v>161</v>
      </c>
      <c r="H110" s="5" t="s">
        <v>162</v>
      </c>
      <c r="I110" s="5"/>
      <c r="J110" s="5"/>
      <c r="K110" s="5">
        <v>224</v>
      </c>
      <c r="L110" s="5">
        <v>27</v>
      </c>
      <c r="M110" s="5">
        <v>3</v>
      </c>
      <c r="N110" s="5" t="s">
        <v>6</v>
      </c>
      <c r="O110" s="5">
        <v>0</v>
      </c>
      <c r="P110" s="5" t="e">
        <f>ROUND(Source!EJ82,O110)</f>
        <v>#REF!</v>
      </c>
      <c r="Q110" s="5"/>
      <c r="R110" s="5"/>
      <c r="S110" s="5"/>
      <c r="T110" s="5"/>
      <c r="U110" s="5"/>
      <c r="V110" s="5"/>
      <c r="W110" s="5">
        <v>67921</v>
      </c>
      <c r="X110" s="5">
        <v>1</v>
      </c>
      <c r="Y110" s="5">
        <v>67921</v>
      </c>
      <c r="Z110" s="5">
        <v>1401418</v>
      </c>
      <c r="AA110" s="5">
        <v>1</v>
      </c>
      <c r="AB110" s="5">
        <v>1401418</v>
      </c>
      <c r="IF110">
        <v>-1</v>
      </c>
    </row>
    <row r="111" spans="1:240" x14ac:dyDescent="0.2">
      <c r="IF111">
        <v>-1</v>
      </c>
    </row>
    <row r="112" spans="1:240" x14ac:dyDescent="0.2">
      <c r="A112" s="3">
        <v>51</v>
      </c>
      <c r="B112" s="3">
        <f>B12</f>
        <v>175</v>
      </c>
      <c r="C112" s="3">
        <f>A12</f>
        <v>1</v>
      </c>
      <c r="D112" s="3">
        <f>ROW(A12)</f>
        <v>12</v>
      </c>
      <c r="E112" s="3"/>
      <c r="F112" s="3" t="str">
        <f>IF(F12&lt;&gt;"",F12,"")</f>
        <v>5.9.3.4 Отделка квартир типа "Теплый White Box" Д1</v>
      </c>
      <c r="G112" s="3" t="str">
        <f>IF(G12&lt;&gt;"",G12,"")</f>
        <v>Комплекс из 2-х многоквартирных домов, расположенных по адресу г.Орел, б-р Молодежи, участок 2а. 1-й этап строительства - многоквартирный дом корпус 2 (поз.1)</v>
      </c>
      <c r="H112" s="3">
        <v>0</v>
      </c>
      <c r="I112" s="3"/>
      <c r="J112" s="3"/>
      <c r="K112" s="3"/>
      <c r="L112" s="3"/>
      <c r="M112" s="3"/>
      <c r="N112" s="3"/>
      <c r="O112" s="3">
        <f t="shared" ref="O112:T112" si="91">ROUND(O82,0)</f>
        <v>46058</v>
      </c>
      <c r="P112" s="3">
        <f t="shared" si="91"/>
        <v>31709</v>
      </c>
      <c r="Q112" s="3">
        <f t="shared" si="91"/>
        <v>711</v>
      </c>
      <c r="R112" s="3">
        <f t="shared" si="91"/>
        <v>27</v>
      </c>
      <c r="S112" s="3">
        <f t="shared" si="91"/>
        <v>13638</v>
      </c>
      <c r="T112" s="3">
        <f t="shared" si="91"/>
        <v>0</v>
      </c>
      <c r="U112" s="3">
        <f>U82</f>
        <v>1404.7252799999999</v>
      </c>
      <c r="V112" s="3">
        <f>V82</f>
        <v>2.3105000000000007</v>
      </c>
      <c r="W112" s="3">
        <f>ROUND(W82,0)</f>
        <v>16</v>
      </c>
      <c r="X112" s="3">
        <f>ROUND(X82,0)</f>
        <v>14348</v>
      </c>
      <c r="Y112" s="3">
        <f>ROUND(Y82,0)</f>
        <v>7515</v>
      </c>
      <c r="Z112" s="3"/>
      <c r="AA112" s="3"/>
      <c r="AB112" s="3"/>
      <c r="AC112" s="3"/>
      <c r="AD112" s="3"/>
      <c r="AE112" s="3"/>
      <c r="AF112" s="3"/>
      <c r="AG112" s="3"/>
      <c r="AH112" s="3"/>
      <c r="AI112" s="3"/>
      <c r="AJ112" s="3"/>
      <c r="AK112" s="3"/>
      <c r="AL112" s="3"/>
      <c r="AM112" s="3"/>
      <c r="AN112" s="3"/>
      <c r="AO112" s="3">
        <f t="shared" ref="AO112:BD112" si="92">ROUND(AO82,0)</f>
        <v>0</v>
      </c>
      <c r="AP112" s="3">
        <f t="shared" si="92"/>
        <v>0</v>
      </c>
      <c r="AQ112" s="3">
        <f t="shared" si="92"/>
        <v>0</v>
      </c>
      <c r="AR112" s="3">
        <f t="shared" si="92"/>
        <v>67921</v>
      </c>
      <c r="AS112" s="3">
        <f t="shared" si="92"/>
        <v>67921</v>
      </c>
      <c r="AT112" s="3">
        <f t="shared" si="92"/>
        <v>0</v>
      </c>
      <c r="AU112" s="3">
        <f t="shared" si="92"/>
        <v>0</v>
      </c>
      <c r="AV112" s="3">
        <f t="shared" si="92"/>
        <v>31709</v>
      </c>
      <c r="AW112" s="3">
        <f t="shared" si="92"/>
        <v>31709</v>
      </c>
      <c r="AX112" s="3">
        <f t="shared" si="92"/>
        <v>0</v>
      </c>
      <c r="AY112" s="3">
        <f t="shared" si="92"/>
        <v>31709</v>
      </c>
      <c r="AZ112" s="3">
        <f t="shared" si="92"/>
        <v>0</v>
      </c>
      <c r="BA112" s="3">
        <f t="shared" si="92"/>
        <v>0</v>
      </c>
      <c r="BB112" s="3">
        <f t="shared" si="92"/>
        <v>0</v>
      </c>
      <c r="BC112" s="3">
        <f t="shared" si="92"/>
        <v>0</v>
      </c>
      <c r="BD112" s="3">
        <f t="shared" si="92"/>
        <v>0</v>
      </c>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4">
        <f t="shared" ref="DG112:DL112" si="93">ROUND(DG82,0)</f>
        <v>642292</v>
      </c>
      <c r="DH112" s="4">
        <f t="shared" si="93"/>
        <v>159520</v>
      </c>
      <c r="DI112" s="4">
        <f t="shared" si="93"/>
        <v>9086</v>
      </c>
      <c r="DJ112" s="4">
        <f t="shared" si="93"/>
        <v>768</v>
      </c>
      <c r="DK112" s="4">
        <f t="shared" si="93"/>
        <v>473686</v>
      </c>
      <c r="DL112" s="4">
        <f t="shared" si="93"/>
        <v>0</v>
      </c>
      <c r="DM112" s="4" t="e">
        <f>DM82</f>
        <v>#REF!</v>
      </c>
      <c r="DN112" s="4">
        <f>DN82</f>
        <v>2.3105000000000007</v>
      </c>
      <c r="DO112" s="4">
        <f>ROUND(DO82,0)</f>
        <v>16</v>
      </c>
      <c r="DP112" s="4" t="e">
        <f>ROUND(DP82,0)</f>
        <v>#REF!</v>
      </c>
      <c r="DQ112" s="4" t="e">
        <f>ROUND(DQ82,0)</f>
        <v>#REF!</v>
      </c>
      <c r="DR112" s="4"/>
      <c r="DS112" s="4"/>
      <c r="DT112" s="4"/>
      <c r="DU112" s="4"/>
      <c r="DV112" s="4"/>
      <c r="DW112" s="4"/>
      <c r="DX112" s="4"/>
      <c r="DY112" s="4"/>
      <c r="DZ112" s="4"/>
      <c r="EA112" s="4"/>
      <c r="EB112" s="4"/>
      <c r="EC112" s="4"/>
      <c r="ED112" s="4"/>
      <c r="EE112" s="4"/>
      <c r="EF112" s="4"/>
      <c r="EG112" s="4">
        <f t="shared" ref="EG112:EV112" si="94">ROUND(EG82,0)</f>
        <v>0</v>
      </c>
      <c r="EH112" s="4">
        <f t="shared" si="94"/>
        <v>0</v>
      </c>
      <c r="EI112" s="4">
        <f t="shared" si="94"/>
        <v>0</v>
      </c>
      <c r="EJ112" s="4" t="e">
        <f t="shared" si="94"/>
        <v>#REF!</v>
      </c>
      <c r="EK112" s="4" t="e">
        <f t="shared" si="94"/>
        <v>#REF!</v>
      </c>
      <c r="EL112" s="4">
        <f t="shared" si="94"/>
        <v>0</v>
      </c>
      <c r="EM112" s="4">
        <f t="shared" si="94"/>
        <v>0</v>
      </c>
      <c r="EN112" s="4">
        <f t="shared" si="94"/>
        <v>159520</v>
      </c>
      <c r="EO112" s="4">
        <f t="shared" si="94"/>
        <v>159520</v>
      </c>
      <c r="EP112" s="4">
        <f t="shared" si="94"/>
        <v>0</v>
      </c>
      <c r="EQ112" s="4">
        <f t="shared" si="94"/>
        <v>159520</v>
      </c>
      <c r="ER112" s="4">
        <f t="shared" si="94"/>
        <v>0</v>
      </c>
      <c r="ES112" s="4">
        <f t="shared" si="94"/>
        <v>0</v>
      </c>
      <c r="ET112" s="4">
        <f t="shared" si="94"/>
        <v>0</v>
      </c>
      <c r="EU112" s="4">
        <f t="shared" si="94"/>
        <v>0</v>
      </c>
      <c r="EV112" s="4">
        <f t="shared" si="94"/>
        <v>0</v>
      </c>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v>0</v>
      </c>
      <c r="IF112">
        <v>-1</v>
      </c>
    </row>
    <row r="113" spans="1:240" x14ac:dyDescent="0.2">
      <c r="IF113">
        <v>-1</v>
      </c>
    </row>
    <row r="114" spans="1:240" x14ac:dyDescent="0.2">
      <c r="A114" s="5">
        <v>50</v>
      </c>
      <c r="B114" s="5">
        <v>0</v>
      </c>
      <c r="C114" s="5">
        <v>0</v>
      </c>
      <c r="D114" s="5">
        <v>1</v>
      </c>
      <c r="E114" s="5">
        <v>201</v>
      </c>
      <c r="F114" s="5">
        <f>ROUND(Source!O112,O114)</f>
        <v>46058</v>
      </c>
      <c r="G114" s="5" t="s">
        <v>109</v>
      </c>
      <c r="H114" s="5" t="s">
        <v>110</v>
      </c>
      <c r="I114" s="5"/>
      <c r="J114" s="5"/>
      <c r="K114" s="5">
        <v>201</v>
      </c>
      <c r="L114" s="5">
        <v>1</v>
      </c>
      <c r="M114" s="5">
        <v>3</v>
      </c>
      <c r="N114" s="5" t="s">
        <v>6</v>
      </c>
      <c r="O114" s="5">
        <v>0</v>
      </c>
      <c r="P114" s="5">
        <f>ROUND(Source!DG112,O114)</f>
        <v>642292</v>
      </c>
      <c r="Q114" s="5"/>
      <c r="R114" s="5"/>
      <c r="S114" s="5"/>
      <c r="T114" s="5"/>
      <c r="U114" s="5"/>
      <c r="V114" s="5"/>
      <c r="W114" s="5">
        <v>46058</v>
      </c>
      <c r="X114" s="5">
        <v>1</v>
      </c>
      <c r="Y114" s="5">
        <v>46058</v>
      </c>
      <c r="Z114" s="5">
        <v>642292</v>
      </c>
      <c r="AA114" s="5">
        <v>1</v>
      </c>
      <c r="AB114" s="5">
        <v>642292</v>
      </c>
      <c r="IF114">
        <v>-1</v>
      </c>
    </row>
    <row r="115" spans="1:240" x14ac:dyDescent="0.2">
      <c r="A115" s="5">
        <v>50</v>
      </c>
      <c r="B115" s="5">
        <v>0</v>
      </c>
      <c r="C115" s="5">
        <v>0</v>
      </c>
      <c r="D115" s="5">
        <v>1</v>
      </c>
      <c r="E115" s="5">
        <v>202</v>
      </c>
      <c r="F115" s="5">
        <f>ROUND(Source!P112,O115)</f>
        <v>31709</v>
      </c>
      <c r="G115" s="5" t="s">
        <v>111</v>
      </c>
      <c r="H115" s="5" t="s">
        <v>112</v>
      </c>
      <c r="I115" s="5"/>
      <c r="J115" s="5"/>
      <c r="K115" s="5">
        <v>202</v>
      </c>
      <c r="L115" s="5">
        <v>2</v>
      </c>
      <c r="M115" s="5">
        <v>3</v>
      </c>
      <c r="N115" s="5" t="s">
        <v>6</v>
      </c>
      <c r="O115" s="5">
        <v>0</v>
      </c>
      <c r="P115" s="5">
        <f>ROUND(Source!DH112,O115)</f>
        <v>159520</v>
      </c>
      <c r="Q115" s="5"/>
      <c r="R115" s="5"/>
      <c r="S115" s="5"/>
      <c r="T115" s="5"/>
      <c r="U115" s="5"/>
      <c r="V115" s="5"/>
      <c r="W115" s="5">
        <v>31709</v>
      </c>
      <c r="X115" s="5">
        <v>1</v>
      </c>
      <c r="Y115" s="5">
        <v>31709</v>
      </c>
      <c r="Z115" s="5">
        <v>159520</v>
      </c>
      <c r="AA115" s="5">
        <v>1</v>
      </c>
      <c r="AB115" s="5">
        <v>159520</v>
      </c>
      <c r="IF115">
        <v>-1</v>
      </c>
    </row>
    <row r="116" spans="1:240" x14ac:dyDescent="0.2">
      <c r="A116" s="5">
        <v>50</v>
      </c>
      <c r="B116" s="5">
        <v>0</v>
      </c>
      <c r="C116" s="5">
        <v>0</v>
      </c>
      <c r="D116" s="5">
        <v>1</v>
      </c>
      <c r="E116" s="5">
        <v>222</v>
      </c>
      <c r="F116" s="5">
        <f>ROUND(Source!AO112,O116)</f>
        <v>0</v>
      </c>
      <c r="G116" s="5" t="s">
        <v>113</v>
      </c>
      <c r="H116" s="5" t="s">
        <v>114</v>
      </c>
      <c r="I116" s="5"/>
      <c r="J116" s="5"/>
      <c r="K116" s="5">
        <v>222</v>
      </c>
      <c r="L116" s="5">
        <v>3</v>
      </c>
      <c r="M116" s="5">
        <v>3</v>
      </c>
      <c r="N116" s="5" t="s">
        <v>6</v>
      </c>
      <c r="O116" s="5">
        <v>0</v>
      </c>
      <c r="P116" s="5">
        <f>ROUND(Source!EG112,O116)</f>
        <v>0</v>
      </c>
      <c r="Q116" s="5"/>
      <c r="R116" s="5"/>
      <c r="S116" s="5"/>
      <c r="T116" s="5"/>
      <c r="U116" s="5"/>
      <c r="V116" s="5"/>
      <c r="W116" s="5">
        <v>0</v>
      </c>
      <c r="X116" s="5">
        <v>1</v>
      </c>
      <c r="Y116" s="5">
        <v>0</v>
      </c>
      <c r="Z116" s="5">
        <v>0</v>
      </c>
      <c r="AA116" s="5">
        <v>1</v>
      </c>
      <c r="AB116" s="5">
        <v>0</v>
      </c>
      <c r="IF116">
        <v>-1</v>
      </c>
    </row>
    <row r="117" spans="1:240" x14ac:dyDescent="0.2">
      <c r="A117" s="5">
        <v>50</v>
      </c>
      <c r="B117" s="5">
        <v>0</v>
      </c>
      <c r="C117" s="5">
        <v>0</v>
      </c>
      <c r="D117" s="5">
        <v>1</v>
      </c>
      <c r="E117" s="5">
        <v>225</v>
      </c>
      <c r="F117" s="5">
        <f>ROUND(Source!AV112,O117)</f>
        <v>31709</v>
      </c>
      <c r="G117" s="5" t="s">
        <v>115</v>
      </c>
      <c r="H117" s="5" t="s">
        <v>116</v>
      </c>
      <c r="I117" s="5"/>
      <c r="J117" s="5"/>
      <c r="K117" s="5">
        <v>225</v>
      </c>
      <c r="L117" s="5">
        <v>4</v>
      </c>
      <c r="M117" s="5">
        <v>3</v>
      </c>
      <c r="N117" s="5" t="s">
        <v>6</v>
      </c>
      <c r="O117" s="5">
        <v>0</v>
      </c>
      <c r="P117" s="5">
        <f>ROUND(Source!EN112,O117)</f>
        <v>159520</v>
      </c>
      <c r="Q117" s="5"/>
      <c r="R117" s="5"/>
      <c r="S117" s="5"/>
      <c r="T117" s="5"/>
      <c r="U117" s="5"/>
      <c r="V117" s="5"/>
      <c r="W117" s="5">
        <v>31709</v>
      </c>
      <c r="X117" s="5">
        <v>1</v>
      </c>
      <c r="Y117" s="5">
        <v>31709</v>
      </c>
      <c r="Z117" s="5">
        <v>159520</v>
      </c>
      <c r="AA117" s="5">
        <v>1</v>
      </c>
      <c r="AB117" s="5">
        <v>159520</v>
      </c>
      <c r="IF117">
        <v>-1</v>
      </c>
    </row>
    <row r="118" spans="1:240" x14ac:dyDescent="0.2">
      <c r="A118" s="5">
        <v>50</v>
      </c>
      <c r="B118" s="5">
        <v>0</v>
      </c>
      <c r="C118" s="5">
        <v>0</v>
      </c>
      <c r="D118" s="5">
        <v>1</v>
      </c>
      <c r="E118" s="5">
        <v>226</v>
      </c>
      <c r="F118" s="5">
        <f>ROUND(Source!AW112,O118)</f>
        <v>31709</v>
      </c>
      <c r="G118" s="5" t="s">
        <v>117</v>
      </c>
      <c r="H118" s="5" t="s">
        <v>118</v>
      </c>
      <c r="I118" s="5"/>
      <c r="J118" s="5"/>
      <c r="K118" s="5">
        <v>226</v>
      </c>
      <c r="L118" s="5">
        <v>5</v>
      </c>
      <c r="M118" s="5">
        <v>3</v>
      </c>
      <c r="N118" s="5" t="s">
        <v>6</v>
      </c>
      <c r="O118" s="5">
        <v>0</v>
      </c>
      <c r="P118" s="5">
        <f>ROUND(Source!EO112,O118)</f>
        <v>159520</v>
      </c>
      <c r="Q118" s="5"/>
      <c r="R118" s="5"/>
      <c r="S118" s="5"/>
      <c r="T118" s="5"/>
      <c r="U118" s="5"/>
      <c r="V118" s="5"/>
      <c r="W118" s="5">
        <v>31709</v>
      </c>
      <c r="X118" s="5">
        <v>1</v>
      </c>
      <c r="Y118" s="5">
        <v>31709</v>
      </c>
      <c r="Z118" s="5">
        <v>159520</v>
      </c>
      <c r="AA118" s="5">
        <v>1</v>
      </c>
      <c r="AB118" s="5">
        <v>159520</v>
      </c>
      <c r="IF118">
        <v>-1</v>
      </c>
    </row>
    <row r="119" spans="1:240" x14ac:dyDescent="0.2">
      <c r="A119" s="5">
        <v>50</v>
      </c>
      <c r="B119" s="5">
        <v>0</v>
      </c>
      <c r="C119" s="5">
        <v>0</v>
      </c>
      <c r="D119" s="5">
        <v>1</v>
      </c>
      <c r="E119" s="5">
        <v>227</v>
      </c>
      <c r="F119" s="5">
        <f>ROUND(Source!AX112,O119)</f>
        <v>0</v>
      </c>
      <c r="G119" s="5" t="s">
        <v>119</v>
      </c>
      <c r="H119" s="5" t="s">
        <v>120</v>
      </c>
      <c r="I119" s="5"/>
      <c r="J119" s="5"/>
      <c r="K119" s="5">
        <v>227</v>
      </c>
      <c r="L119" s="5">
        <v>6</v>
      </c>
      <c r="M119" s="5">
        <v>3</v>
      </c>
      <c r="N119" s="5" t="s">
        <v>6</v>
      </c>
      <c r="O119" s="5">
        <v>0</v>
      </c>
      <c r="P119" s="5">
        <f>ROUND(Source!EP112,O119)</f>
        <v>0</v>
      </c>
      <c r="Q119" s="5"/>
      <c r="R119" s="5"/>
      <c r="S119" s="5"/>
      <c r="T119" s="5"/>
      <c r="U119" s="5"/>
      <c r="V119" s="5"/>
      <c r="W119" s="5">
        <v>0</v>
      </c>
      <c r="X119" s="5">
        <v>1</v>
      </c>
      <c r="Y119" s="5">
        <v>0</v>
      </c>
      <c r="Z119" s="5">
        <v>0</v>
      </c>
      <c r="AA119" s="5">
        <v>1</v>
      </c>
      <c r="AB119" s="5">
        <v>0</v>
      </c>
      <c r="IF119">
        <v>-1</v>
      </c>
    </row>
    <row r="120" spans="1:240" x14ac:dyDescent="0.2">
      <c r="A120" s="5">
        <v>50</v>
      </c>
      <c r="B120" s="5">
        <v>0</v>
      </c>
      <c r="C120" s="5">
        <v>0</v>
      </c>
      <c r="D120" s="5">
        <v>1</v>
      </c>
      <c r="E120" s="5">
        <v>228</v>
      </c>
      <c r="F120" s="5">
        <f>ROUND(Source!AY112,O120)</f>
        <v>31709</v>
      </c>
      <c r="G120" s="5" t="s">
        <v>121</v>
      </c>
      <c r="H120" s="5" t="s">
        <v>122</v>
      </c>
      <c r="I120" s="5"/>
      <c r="J120" s="5"/>
      <c r="K120" s="5">
        <v>228</v>
      </c>
      <c r="L120" s="5">
        <v>7</v>
      </c>
      <c r="M120" s="5">
        <v>3</v>
      </c>
      <c r="N120" s="5" t="s">
        <v>6</v>
      </c>
      <c r="O120" s="5">
        <v>0</v>
      </c>
      <c r="P120" s="5">
        <f>ROUND(Source!EQ112,O120)</f>
        <v>159520</v>
      </c>
      <c r="Q120" s="5"/>
      <c r="R120" s="5"/>
      <c r="S120" s="5"/>
      <c r="T120" s="5"/>
      <c r="U120" s="5"/>
      <c r="V120" s="5"/>
      <c r="W120" s="5">
        <v>31709</v>
      </c>
      <c r="X120" s="5">
        <v>1</v>
      </c>
      <c r="Y120" s="5">
        <v>31709</v>
      </c>
      <c r="Z120" s="5">
        <v>159520</v>
      </c>
      <c r="AA120" s="5">
        <v>1</v>
      </c>
      <c r="AB120" s="5">
        <v>159520</v>
      </c>
      <c r="IF120">
        <v>-1</v>
      </c>
    </row>
    <row r="121" spans="1:240" x14ac:dyDescent="0.2">
      <c r="A121" s="5">
        <v>50</v>
      </c>
      <c r="B121" s="5">
        <v>0</v>
      </c>
      <c r="C121" s="5">
        <v>0</v>
      </c>
      <c r="D121" s="5">
        <v>1</v>
      </c>
      <c r="E121" s="5">
        <v>216</v>
      </c>
      <c r="F121" s="5">
        <f>ROUND(Source!AP112,O121)</f>
        <v>0</v>
      </c>
      <c r="G121" s="5" t="s">
        <v>123</v>
      </c>
      <c r="H121" s="5" t="s">
        <v>124</v>
      </c>
      <c r="I121" s="5"/>
      <c r="J121" s="5"/>
      <c r="K121" s="5">
        <v>216</v>
      </c>
      <c r="L121" s="5">
        <v>8</v>
      </c>
      <c r="M121" s="5">
        <v>3</v>
      </c>
      <c r="N121" s="5" t="s">
        <v>6</v>
      </c>
      <c r="O121" s="5">
        <v>0</v>
      </c>
      <c r="P121" s="5">
        <f>ROUND(Source!EH112,O121)</f>
        <v>0</v>
      </c>
      <c r="Q121" s="5"/>
      <c r="R121" s="5"/>
      <c r="S121" s="5"/>
      <c r="T121" s="5"/>
      <c r="U121" s="5"/>
      <c r="V121" s="5"/>
      <c r="W121" s="5">
        <v>0</v>
      </c>
      <c r="X121" s="5">
        <v>1</v>
      </c>
      <c r="Y121" s="5">
        <v>0</v>
      </c>
      <c r="Z121" s="5">
        <v>0</v>
      </c>
      <c r="AA121" s="5">
        <v>1</v>
      </c>
      <c r="AB121" s="5">
        <v>0</v>
      </c>
      <c r="IF121">
        <v>-1</v>
      </c>
    </row>
    <row r="122" spans="1:240" x14ac:dyDescent="0.2">
      <c r="A122" s="5">
        <v>50</v>
      </c>
      <c r="B122" s="5">
        <v>0</v>
      </c>
      <c r="C122" s="5">
        <v>0</v>
      </c>
      <c r="D122" s="5">
        <v>1</v>
      </c>
      <c r="E122" s="5">
        <v>223</v>
      </c>
      <c r="F122" s="5">
        <f>ROUND(Source!AQ112,O122)</f>
        <v>0</v>
      </c>
      <c r="G122" s="5" t="s">
        <v>125</v>
      </c>
      <c r="H122" s="5" t="s">
        <v>126</v>
      </c>
      <c r="I122" s="5"/>
      <c r="J122" s="5"/>
      <c r="K122" s="5">
        <v>223</v>
      </c>
      <c r="L122" s="5">
        <v>9</v>
      </c>
      <c r="M122" s="5">
        <v>3</v>
      </c>
      <c r="N122" s="5" t="s">
        <v>6</v>
      </c>
      <c r="O122" s="5">
        <v>0</v>
      </c>
      <c r="P122" s="5">
        <f>ROUND(Source!EI112,O122)</f>
        <v>0</v>
      </c>
      <c r="Q122" s="5"/>
      <c r="R122" s="5"/>
      <c r="S122" s="5"/>
      <c r="T122" s="5"/>
      <c r="U122" s="5"/>
      <c r="V122" s="5"/>
      <c r="W122" s="5">
        <v>0</v>
      </c>
      <c r="X122" s="5">
        <v>1</v>
      </c>
      <c r="Y122" s="5">
        <v>0</v>
      </c>
      <c r="Z122" s="5">
        <v>0</v>
      </c>
      <c r="AA122" s="5">
        <v>1</v>
      </c>
      <c r="AB122" s="5">
        <v>0</v>
      </c>
      <c r="IF122">
        <v>-1</v>
      </c>
    </row>
    <row r="123" spans="1:240" x14ac:dyDescent="0.2">
      <c r="A123" s="5">
        <v>50</v>
      </c>
      <c r="B123" s="5">
        <v>0</v>
      </c>
      <c r="C123" s="5">
        <v>0</v>
      </c>
      <c r="D123" s="5">
        <v>1</v>
      </c>
      <c r="E123" s="5">
        <v>229</v>
      </c>
      <c r="F123" s="5">
        <f>ROUND(Source!AZ112,O123)</f>
        <v>0</v>
      </c>
      <c r="G123" s="5" t="s">
        <v>127</v>
      </c>
      <c r="H123" s="5" t="s">
        <v>128</v>
      </c>
      <c r="I123" s="5"/>
      <c r="J123" s="5"/>
      <c r="K123" s="5">
        <v>229</v>
      </c>
      <c r="L123" s="5">
        <v>10</v>
      </c>
      <c r="M123" s="5">
        <v>3</v>
      </c>
      <c r="N123" s="5" t="s">
        <v>6</v>
      </c>
      <c r="O123" s="5">
        <v>0</v>
      </c>
      <c r="P123" s="5">
        <f>ROUND(Source!ER112,O123)</f>
        <v>0</v>
      </c>
      <c r="Q123" s="5"/>
      <c r="R123" s="5"/>
      <c r="S123" s="5"/>
      <c r="T123" s="5"/>
      <c r="U123" s="5"/>
      <c r="V123" s="5"/>
      <c r="W123" s="5">
        <v>0</v>
      </c>
      <c r="X123" s="5">
        <v>1</v>
      </c>
      <c r="Y123" s="5">
        <v>0</v>
      </c>
      <c r="Z123" s="5">
        <v>0</v>
      </c>
      <c r="AA123" s="5">
        <v>1</v>
      </c>
      <c r="AB123" s="5">
        <v>0</v>
      </c>
      <c r="IF123">
        <v>-1</v>
      </c>
    </row>
    <row r="124" spans="1:240" x14ac:dyDescent="0.2">
      <c r="A124" s="5">
        <v>50</v>
      </c>
      <c r="B124" s="5">
        <v>0</v>
      </c>
      <c r="C124" s="5">
        <v>0</v>
      </c>
      <c r="D124" s="5">
        <v>1</v>
      </c>
      <c r="E124" s="5">
        <v>203</v>
      </c>
      <c r="F124" s="5">
        <f>ROUND(Source!Q112,O124)</f>
        <v>711</v>
      </c>
      <c r="G124" s="5" t="s">
        <v>129</v>
      </c>
      <c r="H124" s="5" t="s">
        <v>130</v>
      </c>
      <c r="I124" s="5"/>
      <c r="J124" s="5"/>
      <c r="K124" s="5">
        <v>203</v>
      </c>
      <c r="L124" s="5">
        <v>11</v>
      </c>
      <c r="M124" s="5">
        <v>3</v>
      </c>
      <c r="N124" s="5" t="s">
        <v>6</v>
      </c>
      <c r="O124" s="5">
        <v>0</v>
      </c>
      <c r="P124" s="5">
        <f>ROUND(Source!DI112,O124)</f>
        <v>9086</v>
      </c>
      <c r="Q124" s="5"/>
      <c r="R124" s="5"/>
      <c r="S124" s="5"/>
      <c r="T124" s="5"/>
      <c r="U124" s="5"/>
      <c r="V124" s="5"/>
      <c r="W124" s="5">
        <v>711</v>
      </c>
      <c r="X124" s="5">
        <v>1</v>
      </c>
      <c r="Y124" s="5">
        <v>711</v>
      </c>
      <c r="Z124" s="5">
        <v>9086</v>
      </c>
      <c r="AA124" s="5">
        <v>1</v>
      </c>
      <c r="AB124" s="5">
        <v>9086</v>
      </c>
      <c r="IF124">
        <v>-1</v>
      </c>
    </row>
    <row r="125" spans="1:240" x14ac:dyDescent="0.2">
      <c r="A125" s="5">
        <v>50</v>
      </c>
      <c r="B125" s="5">
        <v>0</v>
      </c>
      <c r="C125" s="5">
        <v>0</v>
      </c>
      <c r="D125" s="5">
        <v>1</v>
      </c>
      <c r="E125" s="5">
        <v>231</v>
      </c>
      <c r="F125" s="5">
        <f>ROUND(Source!BB112,O125)</f>
        <v>0</v>
      </c>
      <c r="G125" s="5" t="s">
        <v>131</v>
      </c>
      <c r="H125" s="5" t="s">
        <v>132</v>
      </c>
      <c r="I125" s="5"/>
      <c r="J125" s="5"/>
      <c r="K125" s="5">
        <v>231</v>
      </c>
      <c r="L125" s="5">
        <v>12</v>
      </c>
      <c r="M125" s="5">
        <v>3</v>
      </c>
      <c r="N125" s="5" t="s">
        <v>6</v>
      </c>
      <c r="O125" s="5">
        <v>0</v>
      </c>
      <c r="P125" s="5">
        <f>ROUND(Source!ET112,O125)</f>
        <v>0</v>
      </c>
      <c r="Q125" s="5"/>
      <c r="R125" s="5"/>
      <c r="S125" s="5"/>
      <c r="T125" s="5"/>
      <c r="U125" s="5"/>
      <c r="V125" s="5"/>
      <c r="W125" s="5">
        <v>0</v>
      </c>
      <c r="X125" s="5">
        <v>1</v>
      </c>
      <c r="Y125" s="5">
        <v>0</v>
      </c>
      <c r="Z125" s="5">
        <v>0</v>
      </c>
      <c r="AA125" s="5">
        <v>1</v>
      </c>
      <c r="AB125" s="5">
        <v>0</v>
      </c>
      <c r="IF125">
        <v>-1</v>
      </c>
    </row>
    <row r="126" spans="1:240" x14ac:dyDescent="0.2">
      <c r="A126" s="5">
        <v>50</v>
      </c>
      <c r="B126" s="5">
        <v>0</v>
      </c>
      <c r="C126" s="5">
        <v>0</v>
      </c>
      <c r="D126" s="5">
        <v>1</v>
      </c>
      <c r="E126" s="5">
        <v>204</v>
      </c>
      <c r="F126" s="5">
        <f>ROUND(Source!R112,O126)</f>
        <v>27</v>
      </c>
      <c r="G126" s="5" t="s">
        <v>133</v>
      </c>
      <c r="H126" s="5" t="s">
        <v>134</v>
      </c>
      <c r="I126" s="5"/>
      <c r="J126" s="5"/>
      <c r="K126" s="5">
        <v>204</v>
      </c>
      <c r="L126" s="5">
        <v>13</v>
      </c>
      <c r="M126" s="5">
        <v>3</v>
      </c>
      <c r="N126" s="5" t="s">
        <v>6</v>
      </c>
      <c r="O126" s="5">
        <v>0</v>
      </c>
      <c r="P126" s="5">
        <f>ROUND(Source!DJ112,O126)</f>
        <v>768</v>
      </c>
      <c r="Q126" s="5"/>
      <c r="R126" s="5"/>
      <c r="S126" s="5"/>
      <c r="T126" s="5"/>
      <c r="U126" s="5"/>
      <c r="V126" s="5"/>
      <c r="W126" s="5">
        <v>27</v>
      </c>
      <c r="X126" s="5">
        <v>1</v>
      </c>
      <c r="Y126" s="5">
        <v>27</v>
      </c>
      <c r="Z126" s="5">
        <v>768</v>
      </c>
      <c r="AA126" s="5">
        <v>1</v>
      </c>
      <c r="AB126" s="5">
        <v>768</v>
      </c>
      <c r="IF126">
        <v>-1</v>
      </c>
    </row>
    <row r="127" spans="1:240" x14ac:dyDescent="0.2">
      <c r="A127" s="5">
        <v>50</v>
      </c>
      <c r="B127" s="5">
        <v>0</v>
      </c>
      <c r="C127" s="5">
        <v>0</v>
      </c>
      <c r="D127" s="5">
        <v>1</v>
      </c>
      <c r="E127" s="5">
        <v>205</v>
      </c>
      <c r="F127" s="5">
        <f>ROUND(Source!S112,O127)</f>
        <v>13638</v>
      </c>
      <c r="G127" s="5" t="s">
        <v>135</v>
      </c>
      <c r="H127" s="5" t="s">
        <v>136</v>
      </c>
      <c r="I127" s="5"/>
      <c r="J127" s="5"/>
      <c r="K127" s="5">
        <v>205</v>
      </c>
      <c r="L127" s="5">
        <v>14</v>
      </c>
      <c r="M127" s="5">
        <v>3</v>
      </c>
      <c r="N127" s="5" t="s">
        <v>6</v>
      </c>
      <c r="O127" s="5">
        <v>0</v>
      </c>
      <c r="P127" s="5">
        <f>ROUND(Source!DK112,O127)</f>
        <v>473686</v>
      </c>
      <c r="Q127" s="5"/>
      <c r="R127" s="5"/>
      <c r="S127" s="5"/>
      <c r="T127" s="5"/>
      <c r="U127" s="5"/>
      <c r="V127" s="5"/>
      <c r="W127" s="5">
        <v>13638</v>
      </c>
      <c r="X127" s="5">
        <v>1</v>
      </c>
      <c r="Y127" s="5">
        <v>13638</v>
      </c>
      <c r="Z127" s="5">
        <v>473686</v>
      </c>
      <c r="AA127" s="5">
        <v>1</v>
      </c>
      <c r="AB127" s="5">
        <v>473686</v>
      </c>
      <c r="IF127">
        <v>-1</v>
      </c>
    </row>
    <row r="128" spans="1:240" x14ac:dyDescent="0.2">
      <c r="A128" s="5">
        <v>50</v>
      </c>
      <c r="B128" s="5">
        <v>0</v>
      </c>
      <c r="C128" s="5">
        <v>0</v>
      </c>
      <c r="D128" s="5">
        <v>1</v>
      </c>
      <c r="E128" s="5">
        <v>232</v>
      </c>
      <c r="F128" s="5">
        <f>ROUND(Source!BC112,O128)</f>
        <v>0</v>
      </c>
      <c r="G128" s="5" t="s">
        <v>137</v>
      </c>
      <c r="H128" s="5" t="s">
        <v>138</v>
      </c>
      <c r="I128" s="5"/>
      <c r="J128" s="5"/>
      <c r="K128" s="5">
        <v>232</v>
      </c>
      <c r="L128" s="5">
        <v>15</v>
      </c>
      <c r="M128" s="5">
        <v>3</v>
      </c>
      <c r="N128" s="5" t="s">
        <v>6</v>
      </c>
      <c r="O128" s="5">
        <v>0</v>
      </c>
      <c r="P128" s="5">
        <f>ROUND(Source!EU112,O128)</f>
        <v>0</v>
      </c>
      <c r="Q128" s="5"/>
      <c r="R128" s="5"/>
      <c r="S128" s="5"/>
      <c r="T128" s="5"/>
      <c r="U128" s="5"/>
      <c r="V128" s="5"/>
      <c r="W128" s="5">
        <v>0</v>
      </c>
      <c r="X128" s="5">
        <v>1</v>
      </c>
      <c r="Y128" s="5">
        <v>0</v>
      </c>
      <c r="Z128" s="5">
        <v>0</v>
      </c>
      <c r="AA128" s="5">
        <v>1</v>
      </c>
      <c r="AB128" s="5">
        <v>0</v>
      </c>
      <c r="IF128">
        <v>-1</v>
      </c>
    </row>
    <row r="129" spans="1:240" x14ac:dyDescent="0.2">
      <c r="A129" s="5">
        <v>50</v>
      </c>
      <c r="B129" s="5">
        <v>0</v>
      </c>
      <c r="C129" s="5">
        <v>0</v>
      </c>
      <c r="D129" s="5">
        <v>1</v>
      </c>
      <c r="E129" s="5">
        <v>214</v>
      </c>
      <c r="F129" s="5">
        <f>ROUND(Source!AS112,O129)</f>
        <v>67921</v>
      </c>
      <c r="G129" s="5" t="s">
        <v>139</v>
      </c>
      <c r="H129" s="5" t="s">
        <v>140</v>
      </c>
      <c r="I129" s="5"/>
      <c r="J129" s="5"/>
      <c r="K129" s="5">
        <v>214</v>
      </c>
      <c r="L129" s="5">
        <v>16</v>
      </c>
      <c r="M129" s="5">
        <v>3</v>
      </c>
      <c r="N129" s="5" t="s">
        <v>6</v>
      </c>
      <c r="O129" s="5">
        <v>0</v>
      </c>
      <c r="P129" s="5" t="e">
        <f>ROUND(Source!EK112,O129)</f>
        <v>#REF!</v>
      </c>
      <c r="Q129" s="5"/>
      <c r="R129" s="5"/>
      <c r="S129" s="5"/>
      <c r="T129" s="5"/>
      <c r="U129" s="5"/>
      <c r="V129" s="5"/>
      <c r="W129" s="5">
        <v>52385</v>
      </c>
      <c r="X129" s="5">
        <v>1</v>
      </c>
      <c r="Y129" s="5">
        <v>52385</v>
      </c>
      <c r="Z129" s="5">
        <v>1339606</v>
      </c>
      <c r="AA129" s="5">
        <v>1</v>
      </c>
      <c r="AB129" s="5">
        <v>1339606</v>
      </c>
      <c r="IF129">
        <v>-1</v>
      </c>
    </row>
    <row r="130" spans="1:240" x14ac:dyDescent="0.2">
      <c r="A130" s="5">
        <v>50</v>
      </c>
      <c r="B130" s="5">
        <v>0</v>
      </c>
      <c r="C130" s="5">
        <v>0</v>
      </c>
      <c r="D130" s="5">
        <v>1</v>
      </c>
      <c r="E130" s="5">
        <v>215</v>
      </c>
      <c r="F130" s="5">
        <f>ROUND(Source!AT112,O130)</f>
        <v>0</v>
      </c>
      <c r="G130" s="5" t="s">
        <v>141</v>
      </c>
      <c r="H130" s="5" t="s">
        <v>142</v>
      </c>
      <c r="I130" s="5"/>
      <c r="J130" s="5"/>
      <c r="K130" s="5">
        <v>215</v>
      </c>
      <c r="L130" s="5">
        <v>17</v>
      </c>
      <c r="M130" s="5">
        <v>3</v>
      </c>
      <c r="N130" s="5" t="s">
        <v>6</v>
      </c>
      <c r="O130" s="5">
        <v>0</v>
      </c>
      <c r="P130" s="5">
        <f>ROUND(Source!EL112,O130)</f>
        <v>0</v>
      </c>
      <c r="Q130" s="5"/>
      <c r="R130" s="5"/>
      <c r="S130" s="5"/>
      <c r="T130" s="5"/>
      <c r="U130" s="5"/>
      <c r="V130" s="5"/>
      <c r="W130" s="5">
        <v>0</v>
      </c>
      <c r="X130" s="5">
        <v>1</v>
      </c>
      <c r="Y130" s="5">
        <v>0</v>
      </c>
      <c r="Z130" s="5">
        <v>0</v>
      </c>
      <c r="AA130" s="5">
        <v>1</v>
      </c>
      <c r="AB130" s="5">
        <v>0</v>
      </c>
      <c r="IF130">
        <v>-1</v>
      </c>
    </row>
    <row r="131" spans="1:240" x14ac:dyDescent="0.2">
      <c r="A131" s="5">
        <v>50</v>
      </c>
      <c r="B131" s="5">
        <v>0</v>
      </c>
      <c r="C131" s="5">
        <v>0</v>
      </c>
      <c r="D131" s="5">
        <v>1</v>
      </c>
      <c r="E131" s="5">
        <v>217</v>
      </c>
      <c r="F131" s="5">
        <f>ROUND(Source!AU112,O131)</f>
        <v>0</v>
      </c>
      <c r="G131" s="5" t="s">
        <v>143</v>
      </c>
      <c r="H131" s="5" t="s">
        <v>144</v>
      </c>
      <c r="I131" s="5"/>
      <c r="J131" s="5"/>
      <c r="K131" s="5">
        <v>217</v>
      </c>
      <c r="L131" s="5">
        <v>18</v>
      </c>
      <c r="M131" s="5">
        <v>3</v>
      </c>
      <c r="N131" s="5" t="s">
        <v>6</v>
      </c>
      <c r="O131" s="5">
        <v>0</v>
      </c>
      <c r="P131" s="5">
        <f>ROUND(Source!EM112,O131)</f>
        <v>0</v>
      </c>
      <c r="Q131" s="5"/>
      <c r="R131" s="5"/>
      <c r="S131" s="5"/>
      <c r="T131" s="5"/>
      <c r="U131" s="5"/>
      <c r="V131" s="5"/>
      <c r="W131" s="5">
        <v>0</v>
      </c>
      <c r="X131" s="5">
        <v>1</v>
      </c>
      <c r="Y131" s="5">
        <v>0</v>
      </c>
      <c r="Z131" s="5">
        <v>0</v>
      </c>
      <c r="AA131" s="5">
        <v>1</v>
      </c>
      <c r="AB131" s="5">
        <v>0</v>
      </c>
      <c r="IF131">
        <v>-1</v>
      </c>
    </row>
    <row r="132" spans="1:240" x14ac:dyDescent="0.2">
      <c r="A132" s="5">
        <v>50</v>
      </c>
      <c r="B132" s="5">
        <v>0</v>
      </c>
      <c r="C132" s="5">
        <v>0</v>
      </c>
      <c r="D132" s="5">
        <v>1</v>
      </c>
      <c r="E132" s="5">
        <v>230</v>
      </c>
      <c r="F132" s="5">
        <f>ROUND(Source!BA112,O132)</f>
        <v>0</v>
      </c>
      <c r="G132" s="5" t="s">
        <v>145</v>
      </c>
      <c r="H132" s="5" t="s">
        <v>146</v>
      </c>
      <c r="I132" s="5"/>
      <c r="J132" s="5"/>
      <c r="K132" s="5">
        <v>230</v>
      </c>
      <c r="L132" s="5">
        <v>19</v>
      </c>
      <c r="M132" s="5">
        <v>3</v>
      </c>
      <c r="N132" s="5" t="s">
        <v>6</v>
      </c>
      <c r="O132" s="5">
        <v>0</v>
      </c>
      <c r="P132" s="5">
        <f>ROUND(Source!ES112,O132)</f>
        <v>0</v>
      </c>
      <c r="Q132" s="5"/>
      <c r="R132" s="5"/>
      <c r="S132" s="5"/>
      <c r="T132" s="5"/>
      <c r="U132" s="5"/>
      <c r="V132" s="5"/>
      <c r="W132" s="5">
        <v>0</v>
      </c>
      <c r="X132" s="5">
        <v>1</v>
      </c>
      <c r="Y132" s="5">
        <v>0</v>
      </c>
      <c r="Z132" s="5">
        <v>0</v>
      </c>
      <c r="AA132" s="5">
        <v>1</v>
      </c>
      <c r="AB132" s="5">
        <v>0</v>
      </c>
      <c r="IF132">
        <v>-1</v>
      </c>
    </row>
    <row r="133" spans="1:240" x14ac:dyDescent="0.2">
      <c r="A133" s="5">
        <v>50</v>
      </c>
      <c r="B133" s="5">
        <v>0</v>
      </c>
      <c r="C133" s="5">
        <v>0</v>
      </c>
      <c r="D133" s="5">
        <v>1</v>
      </c>
      <c r="E133" s="5">
        <v>206</v>
      </c>
      <c r="F133" s="5">
        <f>ROUND(Source!T112,O133)</f>
        <v>0</v>
      </c>
      <c r="G133" s="5" t="s">
        <v>147</v>
      </c>
      <c r="H133" s="5" t="s">
        <v>148</v>
      </c>
      <c r="I133" s="5"/>
      <c r="J133" s="5"/>
      <c r="K133" s="5">
        <v>206</v>
      </c>
      <c r="L133" s="5">
        <v>20</v>
      </c>
      <c r="M133" s="5">
        <v>3</v>
      </c>
      <c r="N133" s="5" t="s">
        <v>6</v>
      </c>
      <c r="O133" s="5">
        <v>0</v>
      </c>
      <c r="P133" s="5">
        <f>ROUND(Source!DL112,O133)</f>
        <v>0</v>
      </c>
      <c r="Q133" s="5"/>
      <c r="R133" s="5"/>
      <c r="S133" s="5"/>
      <c r="T133" s="5"/>
      <c r="U133" s="5"/>
      <c r="V133" s="5"/>
      <c r="W133" s="5">
        <v>0</v>
      </c>
      <c r="X133" s="5">
        <v>1</v>
      </c>
      <c r="Y133" s="5">
        <v>0</v>
      </c>
      <c r="Z133" s="5">
        <v>0</v>
      </c>
      <c r="AA133" s="5">
        <v>1</v>
      </c>
      <c r="AB133" s="5">
        <v>0</v>
      </c>
      <c r="IF133">
        <v>-1</v>
      </c>
    </row>
    <row r="134" spans="1:240" x14ac:dyDescent="0.2">
      <c r="A134" s="5">
        <v>50</v>
      </c>
      <c r="B134" s="5">
        <v>0</v>
      </c>
      <c r="C134" s="5">
        <v>0</v>
      </c>
      <c r="D134" s="5">
        <v>1</v>
      </c>
      <c r="E134" s="5">
        <v>207</v>
      </c>
      <c r="F134" s="5">
        <f>Source!U112</f>
        <v>1404.7252799999999</v>
      </c>
      <c r="G134" s="5" t="s">
        <v>149</v>
      </c>
      <c r="H134" s="5" t="s">
        <v>150</v>
      </c>
      <c r="I134" s="5"/>
      <c r="J134" s="5"/>
      <c r="K134" s="5">
        <v>207</v>
      </c>
      <c r="L134" s="5">
        <v>21</v>
      </c>
      <c r="M134" s="5">
        <v>3</v>
      </c>
      <c r="N134" s="5" t="s">
        <v>6</v>
      </c>
      <c r="O134" s="5">
        <v>-1</v>
      </c>
      <c r="P134" s="5" t="e">
        <f>Source!DM112</f>
        <v>#REF!</v>
      </c>
      <c r="Q134" s="5"/>
      <c r="R134" s="5"/>
      <c r="S134" s="5"/>
      <c r="T134" s="5"/>
      <c r="U134" s="5"/>
      <c r="V134" s="5"/>
      <c r="W134" s="5">
        <v>1404.7252799999999</v>
      </c>
      <c r="X134" s="5">
        <v>1</v>
      </c>
      <c r="Y134" s="5">
        <v>1404.7252799999999</v>
      </c>
      <c r="Z134" s="5">
        <v>1404.7252799999999</v>
      </c>
      <c r="AA134" s="5">
        <v>1</v>
      </c>
      <c r="AB134" s="5">
        <v>1404.7252799999999</v>
      </c>
      <c r="IF134">
        <v>-1</v>
      </c>
    </row>
    <row r="135" spans="1:240" x14ac:dyDescent="0.2">
      <c r="A135" s="5">
        <v>50</v>
      </c>
      <c r="B135" s="5">
        <v>0</v>
      </c>
      <c r="C135" s="5">
        <v>0</v>
      </c>
      <c r="D135" s="5">
        <v>1</v>
      </c>
      <c r="E135" s="5">
        <v>208</v>
      </c>
      <c r="F135" s="5">
        <f>Source!V112</f>
        <v>2.3105000000000007</v>
      </c>
      <c r="G135" s="5" t="s">
        <v>151</v>
      </c>
      <c r="H135" s="5" t="s">
        <v>152</v>
      </c>
      <c r="I135" s="5"/>
      <c r="J135" s="5"/>
      <c r="K135" s="5">
        <v>208</v>
      </c>
      <c r="L135" s="5">
        <v>22</v>
      </c>
      <c r="M135" s="5">
        <v>3</v>
      </c>
      <c r="N135" s="5" t="s">
        <v>6</v>
      </c>
      <c r="O135" s="5">
        <v>-1</v>
      </c>
      <c r="P135" s="5">
        <f>Source!DN112</f>
        <v>2.3105000000000007</v>
      </c>
      <c r="Q135" s="5"/>
      <c r="R135" s="5"/>
      <c r="S135" s="5"/>
      <c r="T135" s="5"/>
      <c r="U135" s="5"/>
      <c r="V135" s="5"/>
      <c r="W135" s="5">
        <v>2.3104999999999998</v>
      </c>
      <c r="X135" s="5">
        <v>1</v>
      </c>
      <c r="Y135" s="5">
        <v>2.3104999999999998</v>
      </c>
      <c r="Z135" s="5">
        <v>2.3104999999999998</v>
      </c>
      <c r="AA135" s="5">
        <v>1</v>
      </c>
      <c r="AB135" s="5">
        <v>2.3104999999999998</v>
      </c>
      <c r="IF135">
        <v>-1</v>
      </c>
    </row>
    <row r="136" spans="1:240" x14ac:dyDescent="0.2">
      <c r="A136" s="5">
        <v>50</v>
      </c>
      <c r="B136" s="5">
        <v>0</v>
      </c>
      <c r="C136" s="5">
        <v>0</v>
      </c>
      <c r="D136" s="5">
        <v>1</v>
      </c>
      <c r="E136" s="5">
        <v>209</v>
      </c>
      <c r="F136" s="5">
        <f>ROUND(Source!W112,O136)</f>
        <v>16</v>
      </c>
      <c r="G136" s="5" t="s">
        <v>153</v>
      </c>
      <c r="H136" s="5" t="s">
        <v>154</v>
      </c>
      <c r="I136" s="5"/>
      <c r="J136" s="5"/>
      <c r="K136" s="5">
        <v>209</v>
      </c>
      <c r="L136" s="5">
        <v>23</v>
      </c>
      <c r="M136" s="5">
        <v>3</v>
      </c>
      <c r="N136" s="5" t="s">
        <v>6</v>
      </c>
      <c r="O136" s="5">
        <v>0</v>
      </c>
      <c r="P136" s="5">
        <f>ROUND(Source!DO112,O136)</f>
        <v>16</v>
      </c>
      <c r="Q136" s="5"/>
      <c r="R136" s="5"/>
      <c r="S136" s="5"/>
      <c r="T136" s="5"/>
      <c r="U136" s="5"/>
      <c r="V136" s="5"/>
      <c r="W136" s="5">
        <v>16</v>
      </c>
      <c r="X136" s="5">
        <v>1</v>
      </c>
      <c r="Y136" s="5">
        <v>16</v>
      </c>
      <c r="Z136" s="5">
        <v>16</v>
      </c>
      <c r="AA136" s="5">
        <v>1</v>
      </c>
      <c r="AB136" s="5">
        <v>16</v>
      </c>
      <c r="IF136">
        <v>-1</v>
      </c>
    </row>
    <row r="137" spans="1:240" x14ac:dyDescent="0.2">
      <c r="A137" s="5">
        <v>50</v>
      </c>
      <c r="B137" s="5">
        <v>0</v>
      </c>
      <c r="C137" s="5">
        <v>0</v>
      </c>
      <c r="D137" s="5">
        <v>1</v>
      </c>
      <c r="E137" s="5">
        <v>233</v>
      </c>
      <c r="F137" s="5">
        <f>ROUND(Source!BD112,O137)</f>
        <v>0</v>
      </c>
      <c r="G137" s="5" t="s">
        <v>155</v>
      </c>
      <c r="H137" s="5" t="s">
        <v>156</v>
      </c>
      <c r="I137" s="5"/>
      <c r="J137" s="5"/>
      <c r="K137" s="5">
        <v>233</v>
      </c>
      <c r="L137" s="5">
        <v>24</v>
      </c>
      <c r="M137" s="5">
        <v>3</v>
      </c>
      <c r="N137" s="5" t="s">
        <v>6</v>
      </c>
      <c r="O137" s="5">
        <v>0</v>
      </c>
      <c r="P137" s="5">
        <f>ROUND(Source!EV112,O137)</f>
        <v>0</v>
      </c>
      <c r="Q137" s="5"/>
      <c r="R137" s="5"/>
      <c r="S137" s="5"/>
      <c r="T137" s="5"/>
      <c r="U137" s="5"/>
      <c r="V137" s="5"/>
      <c r="W137" s="5">
        <v>0</v>
      </c>
      <c r="X137" s="5">
        <v>1</v>
      </c>
      <c r="Y137" s="5">
        <v>0</v>
      </c>
      <c r="Z137" s="5">
        <v>0</v>
      </c>
      <c r="AA137" s="5">
        <v>1</v>
      </c>
      <c r="AB137" s="5">
        <v>0</v>
      </c>
      <c r="IF137">
        <v>-1</v>
      </c>
    </row>
    <row r="138" spans="1:240" x14ac:dyDescent="0.2">
      <c r="A138" s="5">
        <v>50</v>
      </c>
      <c r="B138" s="5">
        <v>0</v>
      </c>
      <c r="C138" s="5">
        <v>0</v>
      </c>
      <c r="D138" s="5">
        <v>1</v>
      </c>
      <c r="E138" s="5">
        <v>210</v>
      </c>
      <c r="F138" s="5">
        <f>ROUND(Source!X112,O138)</f>
        <v>14348</v>
      </c>
      <c r="G138" s="5" t="s">
        <v>157</v>
      </c>
      <c r="H138" s="5" t="s">
        <v>158</v>
      </c>
      <c r="I138" s="5"/>
      <c r="J138" s="5"/>
      <c r="K138" s="5">
        <v>210</v>
      </c>
      <c r="L138" s="5">
        <v>25</v>
      </c>
      <c r="M138" s="5">
        <v>3</v>
      </c>
      <c r="N138" s="5" t="s">
        <v>6</v>
      </c>
      <c r="O138" s="5">
        <v>0</v>
      </c>
      <c r="P138" s="5" t="e">
        <f>ROUND(Source!DP112,O138)</f>
        <v>#REF!</v>
      </c>
      <c r="Q138" s="5"/>
      <c r="R138" s="5"/>
      <c r="S138" s="5"/>
      <c r="T138" s="5"/>
      <c r="U138" s="5"/>
      <c r="V138" s="5"/>
      <c r="W138" s="5">
        <v>14348</v>
      </c>
      <c r="X138" s="5">
        <v>1</v>
      </c>
      <c r="Y138" s="5">
        <v>14348</v>
      </c>
      <c r="Z138" s="5">
        <v>498177</v>
      </c>
      <c r="AA138" s="5">
        <v>1</v>
      </c>
      <c r="AB138" s="5">
        <v>498177</v>
      </c>
      <c r="IF138">
        <v>-1</v>
      </c>
    </row>
    <row r="139" spans="1:240" x14ac:dyDescent="0.2">
      <c r="A139" s="5">
        <v>50</v>
      </c>
      <c r="B139" s="5">
        <v>0</v>
      </c>
      <c r="C139" s="5">
        <v>0</v>
      </c>
      <c r="D139" s="5">
        <v>1</v>
      </c>
      <c r="E139" s="5">
        <v>211</v>
      </c>
      <c r="F139" s="5">
        <f>ROUND(Source!Y112,O139)</f>
        <v>7515</v>
      </c>
      <c r="G139" s="5" t="s">
        <v>159</v>
      </c>
      <c r="H139" s="5" t="s">
        <v>160</v>
      </c>
      <c r="I139" s="5"/>
      <c r="J139" s="5"/>
      <c r="K139" s="5">
        <v>211</v>
      </c>
      <c r="L139" s="5">
        <v>26</v>
      </c>
      <c r="M139" s="5">
        <v>3</v>
      </c>
      <c r="N139" s="5" t="s">
        <v>6</v>
      </c>
      <c r="O139" s="5">
        <v>0</v>
      </c>
      <c r="P139" s="5" t="e">
        <f>ROUND(Source!DQ112,O139)</f>
        <v>#REF!</v>
      </c>
      <c r="Q139" s="5"/>
      <c r="R139" s="5"/>
      <c r="S139" s="5"/>
      <c r="T139" s="5"/>
      <c r="U139" s="5"/>
      <c r="V139" s="5"/>
      <c r="W139" s="5">
        <v>7515</v>
      </c>
      <c r="X139" s="5">
        <v>1</v>
      </c>
      <c r="Y139" s="5">
        <v>7515</v>
      </c>
      <c r="Z139" s="5">
        <v>260949</v>
      </c>
      <c r="AA139" s="5">
        <v>1</v>
      </c>
      <c r="AB139" s="5">
        <v>260949</v>
      </c>
      <c r="IF139">
        <v>-1</v>
      </c>
    </row>
    <row r="140" spans="1:240" x14ac:dyDescent="0.2">
      <c r="A140" s="5">
        <v>50</v>
      </c>
      <c r="B140" s="5">
        <v>0</v>
      </c>
      <c r="C140" s="5">
        <v>0</v>
      </c>
      <c r="D140" s="5">
        <v>1</v>
      </c>
      <c r="E140" s="5">
        <v>224</v>
      </c>
      <c r="F140" s="5">
        <f>ROUND(Source!AR112,O140)</f>
        <v>67921</v>
      </c>
      <c r="G140" s="5" t="s">
        <v>161</v>
      </c>
      <c r="H140" s="5" t="s">
        <v>162</v>
      </c>
      <c r="I140" s="5"/>
      <c r="J140" s="5"/>
      <c r="K140" s="5">
        <v>224</v>
      </c>
      <c r="L140" s="5">
        <v>27</v>
      </c>
      <c r="M140" s="5">
        <v>3</v>
      </c>
      <c r="N140" s="5" t="s">
        <v>6</v>
      </c>
      <c r="O140" s="5">
        <v>0</v>
      </c>
      <c r="P140" s="5" t="e">
        <f>ROUND(Source!EJ112,O140)</f>
        <v>#REF!</v>
      </c>
      <c r="Q140" s="5"/>
      <c r="R140" s="5"/>
      <c r="S140" s="5"/>
      <c r="T140" s="5"/>
      <c r="U140" s="5"/>
      <c r="V140" s="5"/>
      <c r="W140" s="5">
        <v>67921</v>
      </c>
      <c r="X140" s="5">
        <v>1</v>
      </c>
      <c r="Y140" s="5">
        <v>67921</v>
      </c>
      <c r="Z140" s="5">
        <v>1401418</v>
      </c>
      <c r="AA140" s="5">
        <v>1</v>
      </c>
      <c r="AB140" s="5">
        <v>1401418</v>
      </c>
      <c r="IF140">
        <v>-1</v>
      </c>
    </row>
    <row r="141" spans="1:240" x14ac:dyDescent="0.2">
      <c r="IF141">
        <v>-1</v>
      </c>
    </row>
    <row r="142" spans="1:240" x14ac:dyDescent="0.2">
      <c r="IF142">
        <v>-1</v>
      </c>
    </row>
    <row r="143" spans="1:240" x14ac:dyDescent="0.2">
      <c r="A143">
        <v>70</v>
      </c>
      <c r="B143">
        <v>1</v>
      </c>
      <c r="D143">
        <v>1</v>
      </c>
      <c r="E143" t="s">
        <v>163</v>
      </c>
      <c r="F143" t="s">
        <v>164</v>
      </c>
      <c r="G143">
        <v>1</v>
      </c>
      <c r="H143">
        <v>0</v>
      </c>
      <c r="I143" t="s">
        <v>6</v>
      </c>
      <c r="J143">
        <v>1</v>
      </c>
      <c r="K143">
        <v>0</v>
      </c>
      <c r="L143" t="s">
        <v>6</v>
      </c>
      <c r="M143" t="s">
        <v>6</v>
      </c>
      <c r="N143">
        <v>0</v>
      </c>
      <c r="O143">
        <v>1</v>
      </c>
      <c r="P143" t="s">
        <v>165</v>
      </c>
      <c r="IF143">
        <v>-1</v>
      </c>
    </row>
    <row r="144" spans="1:240" x14ac:dyDescent="0.2">
      <c r="A144">
        <v>70</v>
      </c>
      <c r="B144">
        <v>1</v>
      </c>
      <c r="D144">
        <v>2</v>
      </c>
      <c r="E144" t="s">
        <v>166</v>
      </c>
      <c r="F144" t="s">
        <v>167</v>
      </c>
      <c r="G144">
        <v>0</v>
      </c>
      <c r="H144">
        <v>0</v>
      </c>
      <c r="I144" t="s">
        <v>6</v>
      </c>
      <c r="J144">
        <v>1</v>
      </c>
      <c r="K144">
        <v>0</v>
      </c>
      <c r="L144" t="s">
        <v>6</v>
      </c>
      <c r="M144" t="s">
        <v>6</v>
      </c>
      <c r="N144">
        <v>0</v>
      </c>
      <c r="O144">
        <v>0</v>
      </c>
      <c r="P144" t="s">
        <v>168</v>
      </c>
      <c r="IF144">
        <v>-1</v>
      </c>
    </row>
    <row r="145" spans="1:240" x14ac:dyDescent="0.2">
      <c r="A145">
        <v>70</v>
      </c>
      <c r="B145">
        <v>1</v>
      </c>
      <c r="D145">
        <v>3</v>
      </c>
      <c r="E145" t="s">
        <v>169</v>
      </c>
      <c r="F145" t="s">
        <v>170</v>
      </c>
      <c r="G145">
        <v>0</v>
      </c>
      <c r="H145">
        <v>0</v>
      </c>
      <c r="I145" t="s">
        <v>6</v>
      </c>
      <c r="J145">
        <v>1</v>
      </c>
      <c r="K145">
        <v>0</v>
      </c>
      <c r="L145" t="s">
        <v>6</v>
      </c>
      <c r="M145" t="s">
        <v>6</v>
      </c>
      <c r="N145">
        <v>0</v>
      </c>
      <c r="O145">
        <v>0</v>
      </c>
      <c r="P145" t="s">
        <v>171</v>
      </c>
      <c r="IF145">
        <v>-1</v>
      </c>
    </row>
    <row r="146" spans="1:240" x14ac:dyDescent="0.2">
      <c r="A146">
        <v>70</v>
      </c>
      <c r="B146">
        <v>1</v>
      </c>
      <c r="D146">
        <v>4</v>
      </c>
      <c r="E146" t="s">
        <v>172</v>
      </c>
      <c r="F146" t="s">
        <v>173</v>
      </c>
      <c r="G146">
        <v>1</v>
      </c>
      <c r="H146">
        <v>0</v>
      </c>
      <c r="I146" t="s">
        <v>6</v>
      </c>
      <c r="J146">
        <v>2</v>
      </c>
      <c r="K146">
        <v>0</v>
      </c>
      <c r="L146" t="s">
        <v>6</v>
      </c>
      <c r="M146" t="s">
        <v>6</v>
      </c>
      <c r="N146">
        <v>0</v>
      </c>
      <c r="O146">
        <v>1</v>
      </c>
      <c r="P146" t="s">
        <v>6</v>
      </c>
      <c r="IF146">
        <v>-1</v>
      </c>
    </row>
    <row r="147" spans="1:240" x14ac:dyDescent="0.2">
      <c r="A147">
        <v>70</v>
      </c>
      <c r="B147">
        <v>1</v>
      </c>
      <c r="D147">
        <v>5</v>
      </c>
      <c r="E147" t="s">
        <v>174</v>
      </c>
      <c r="F147" t="s">
        <v>175</v>
      </c>
      <c r="G147">
        <v>0</v>
      </c>
      <c r="H147">
        <v>0</v>
      </c>
      <c r="I147" t="s">
        <v>6</v>
      </c>
      <c r="J147">
        <v>2</v>
      </c>
      <c r="K147">
        <v>0</v>
      </c>
      <c r="L147" t="s">
        <v>6</v>
      </c>
      <c r="M147" t="s">
        <v>6</v>
      </c>
      <c r="N147">
        <v>0</v>
      </c>
      <c r="O147">
        <v>0</v>
      </c>
      <c r="P147" t="s">
        <v>6</v>
      </c>
      <c r="IF147">
        <v>-1</v>
      </c>
    </row>
    <row r="148" spans="1:240" x14ac:dyDescent="0.2">
      <c r="A148">
        <v>70</v>
      </c>
      <c r="B148">
        <v>1</v>
      </c>
      <c r="D148">
        <v>6</v>
      </c>
      <c r="E148" t="s">
        <v>176</v>
      </c>
      <c r="F148" t="s">
        <v>177</v>
      </c>
      <c r="G148">
        <v>0</v>
      </c>
      <c r="H148">
        <v>0</v>
      </c>
      <c r="I148" t="s">
        <v>6</v>
      </c>
      <c r="J148">
        <v>2</v>
      </c>
      <c r="K148">
        <v>0</v>
      </c>
      <c r="L148" t="s">
        <v>6</v>
      </c>
      <c r="M148" t="s">
        <v>6</v>
      </c>
      <c r="N148">
        <v>0</v>
      </c>
      <c r="O148">
        <v>0</v>
      </c>
      <c r="P148" t="s">
        <v>6</v>
      </c>
      <c r="IF148">
        <v>-1</v>
      </c>
    </row>
    <row r="149" spans="1:240" x14ac:dyDescent="0.2">
      <c r="A149">
        <v>70</v>
      </c>
      <c r="B149">
        <v>1</v>
      </c>
      <c r="D149">
        <v>7</v>
      </c>
      <c r="E149" t="s">
        <v>178</v>
      </c>
      <c r="F149" t="s">
        <v>179</v>
      </c>
      <c r="G149">
        <v>0</v>
      </c>
      <c r="H149">
        <v>0</v>
      </c>
      <c r="I149" t="s">
        <v>180</v>
      </c>
      <c r="J149">
        <v>0</v>
      </c>
      <c r="K149">
        <v>0</v>
      </c>
      <c r="L149" t="s">
        <v>6</v>
      </c>
      <c r="M149" t="s">
        <v>6</v>
      </c>
      <c r="N149">
        <v>0</v>
      </c>
      <c r="O149">
        <v>0</v>
      </c>
      <c r="P149" t="s">
        <v>181</v>
      </c>
      <c r="IF149">
        <v>-1</v>
      </c>
    </row>
    <row r="150" spans="1:240" x14ac:dyDescent="0.2">
      <c r="A150">
        <v>70</v>
      </c>
      <c r="B150">
        <v>1</v>
      </c>
      <c r="D150">
        <v>8</v>
      </c>
      <c r="E150" t="s">
        <v>182</v>
      </c>
      <c r="F150" t="s">
        <v>183</v>
      </c>
      <c r="G150">
        <v>0</v>
      </c>
      <c r="H150">
        <v>0</v>
      </c>
      <c r="I150" t="s">
        <v>184</v>
      </c>
      <c r="J150">
        <v>0</v>
      </c>
      <c r="K150">
        <v>0</v>
      </c>
      <c r="L150" t="s">
        <v>6</v>
      </c>
      <c r="M150" t="s">
        <v>6</v>
      </c>
      <c r="N150">
        <v>0</v>
      </c>
      <c r="O150">
        <v>0</v>
      </c>
      <c r="P150" t="s">
        <v>185</v>
      </c>
      <c r="IF150">
        <v>-1</v>
      </c>
    </row>
    <row r="151" spans="1:240" x14ac:dyDescent="0.2">
      <c r="A151">
        <v>70</v>
      </c>
      <c r="B151">
        <v>1</v>
      </c>
      <c r="D151">
        <v>9</v>
      </c>
      <c r="E151" t="s">
        <v>186</v>
      </c>
      <c r="F151" t="s">
        <v>187</v>
      </c>
      <c r="G151">
        <v>0</v>
      </c>
      <c r="H151">
        <v>0</v>
      </c>
      <c r="I151" t="s">
        <v>188</v>
      </c>
      <c r="J151">
        <v>0</v>
      </c>
      <c r="K151">
        <v>0</v>
      </c>
      <c r="L151" t="s">
        <v>6</v>
      </c>
      <c r="M151" t="s">
        <v>6</v>
      </c>
      <c r="N151">
        <v>0</v>
      </c>
      <c r="O151">
        <v>0</v>
      </c>
      <c r="P151" t="s">
        <v>189</v>
      </c>
      <c r="IF151">
        <v>-1</v>
      </c>
    </row>
    <row r="152" spans="1:240" x14ac:dyDescent="0.2">
      <c r="A152">
        <v>70</v>
      </c>
      <c r="B152">
        <v>1</v>
      </c>
      <c r="D152">
        <v>10</v>
      </c>
      <c r="E152" t="s">
        <v>190</v>
      </c>
      <c r="F152" t="s">
        <v>191</v>
      </c>
      <c r="G152">
        <v>1</v>
      </c>
      <c r="H152">
        <v>0</v>
      </c>
      <c r="I152" t="s">
        <v>6</v>
      </c>
      <c r="J152">
        <v>0</v>
      </c>
      <c r="K152">
        <v>0</v>
      </c>
      <c r="L152" t="s">
        <v>6</v>
      </c>
      <c r="M152" t="s">
        <v>6</v>
      </c>
      <c r="N152">
        <v>0</v>
      </c>
      <c r="O152">
        <v>1</v>
      </c>
      <c r="P152" t="s">
        <v>192</v>
      </c>
      <c r="IF152">
        <v>-1</v>
      </c>
    </row>
    <row r="153" spans="1:240" x14ac:dyDescent="0.2">
      <c r="A153">
        <v>70</v>
      </c>
      <c r="B153">
        <v>1</v>
      </c>
      <c r="D153">
        <v>11</v>
      </c>
      <c r="E153" t="s">
        <v>193</v>
      </c>
      <c r="F153" t="s">
        <v>194</v>
      </c>
      <c r="G153">
        <v>0</v>
      </c>
      <c r="H153">
        <v>0</v>
      </c>
      <c r="I153" t="s">
        <v>195</v>
      </c>
      <c r="J153">
        <v>0</v>
      </c>
      <c r="K153">
        <v>0</v>
      </c>
      <c r="L153" t="s">
        <v>6</v>
      </c>
      <c r="M153" t="s">
        <v>6</v>
      </c>
      <c r="N153">
        <v>0</v>
      </c>
      <c r="O153">
        <v>0</v>
      </c>
      <c r="P153" t="s">
        <v>196</v>
      </c>
      <c r="IF153">
        <v>-1</v>
      </c>
    </row>
    <row r="154" spans="1:240" x14ac:dyDescent="0.2">
      <c r="A154">
        <v>70</v>
      </c>
      <c r="B154">
        <v>1</v>
      </c>
      <c r="D154">
        <v>12</v>
      </c>
      <c r="E154" t="s">
        <v>197</v>
      </c>
      <c r="F154" t="s">
        <v>198</v>
      </c>
      <c r="G154">
        <v>0</v>
      </c>
      <c r="H154">
        <v>0</v>
      </c>
      <c r="I154" t="s">
        <v>199</v>
      </c>
      <c r="J154">
        <v>0</v>
      </c>
      <c r="K154">
        <v>0</v>
      </c>
      <c r="L154" t="s">
        <v>6</v>
      </c>
      <c r="M154" t="s">
        <v>6</v>
      </c>
      <c r="N154">
        <v>0</v>
      </c>
      <c r="O154">
        <v>0</v>
      </c>
      <c r="P154" t="s">
        <v>200</v>
      </c>
      <c r="IF154">
        <v>-1</v>
      </c>
    </row>
    <row r="155" spans="1:240" x14ac:dyDescent="0.2">
      <c r="A155">
        <v>70</v>
      </c>
      <c r="B155">
        <v>1</v>
      </c>
      <c r="D155">
        <v>13</v>
      </c>
      <c r="E155" t="s">
        <v>201</v>
      </c>
      <c r="F155" t="s">
        <v>202</v>
      </c>
      <c r="G155">
        <v>0</v>
      </c>
      <c r="H155">
        <v>0</v>
      </c>
      <c r="I155" t="s">
        <v>203</v>
      </c>
      <c r="J155">
        <v>0</v>
      </c>
      <c r="K155">
        <v>0</v>
      </c>
      <c r="L155" t="s">
        <v>6</v>
      </c>
      <c r="M155" t="s">
        <v>6</v>
      </c>
      <c r="N155">
        <v>0</v>
      </c>
      <c r="O155">
        <v>0</v>
      </c>
      <c r="P155" t="s">
        <v>204</v>
      </c>
      <c r="IF155">
        <v>-1</v>
      </c>
    </row>
    <row r="156" spans="1:240" x14ac:dyDescent="0.2">
      <c r="A156">
        <v>70</v>
      </c>
      <c r="B156">
        <v>1</v>
      </c>
      <c r="D156">
        <v>14</v>
      </c>
      <c r="E156" t="s">
        <v>205</v>
      </c>
      <c r="F156" t="s">
        <v>206</v>
      </c>
      <c r="G156">
        <v>0</v>
      </c>
      <c r="H156">
        <v>0</v>
      </c>
      <c r="I156" t="s">
        <v>207</v>
      </c>
      <c r="J156">
        <v>0</v>
      </c>
      <c r="K156">
        <v>0</v>
      </c>
      <c r="L156" t="s">
        <v>6</v>
      </c>
      <c r="M156" t="s">
        <v>6</v>
      </c>
      <c r="N156">
        <v>0</v>
      </c>
      <c r="O156">
        <v>0</v>
      </c>
      <c r="P156" t="s">
        <v>208</v>
      </c>
      <c r="IF156">
        <v>-1</v>
      </c>
    </row>
    <row r="157" spans="1:240" x14ac:dyDescent="0.2">
      <c r="A157">
        <v>70</v>
      </c>
      <c r="B157">
        <v>1</v>
      </c>
      <c r="D157">
        <v>15</v>
      </c>
      <c r="E157" t="s">
        <v>209</v>
      </c>
      <c r="F157" t="s">
        <v>210</v>
      </c>
      <c r="G157">
        <v>0</v>
      </c>
      <c r="H157">
        <v>0</v>
      </c>
      <c r="I157" t="s">
        <v>6</v>
      </c>
      <c r="J157">
        <v>0</v>
      </c>
      <c r="K157">
        <v>0</v>
      </c>
      <c r="L157" t="s">
        <v>6</v>
      </c>
      <c r="M157" t="s">
        <v>6</v>
      </c>
      <c r="N157">
        <v>0</v>
      </c>
      <c r="O157">
        <v>0</v>
      </c>
      <c r="P157" t="s">
        <v>6</v>
      </c>
      <c r="IF157">
        <v>-1</v>
      </c>
    </row>
    <row r="158" spans="1:240" x14ac:dyDescent="0.2">
      <c r="A158">
        <v>70</v>
      </c>
      <c r="B158">
        <v>1</v>
      </c>
      <c r="D158">
        <v>1</v>
      </c>
      <c r="E158" t="s">
        <v>211</v>
      </c>
      <c r="F158" t="s">
        <v>212</v>
      </c>
      <c r="G158">
        <v>0.9</v>
      </c>
      <c r="H158">
        <v>1</v>
      </c>
      <c r="I158" t="s">
        <v>213</v>
      </c>
      <c r="J158">
        <v>0</v>
      </c>
      <c r="K158">
        <v>0</v>
      </c>
      <c r="L158" t="s">
        <v>6</v>
      </c>
      <c r="M158" t="s">
        <v>6</v>
      </c>
      <c r="N158">
        <v>0</v>
      </c>
      <c r="O158">
        <v>0.9</v>
      </c>
      <c r="P158" t="s">
        <v>6</v>
      </c>
      <c r="IF158">
        <v>-1</v>
      </c>
    </row>
    <row r="159" spans="1:240" x14ac:dyDescent="0.2">
      <c r="A159">
        <v>70</v>
      </c>
      <c r="B159">
        <v>1</v>
      </c>
      <c r="D159">
        <v>2</v>
      </c>
      <c r="E159" t="s">
        <v>214</v>
      </c>
      <c r="F159" t="s">
        <v>215</v>
      </c>
      <c r="G159">
        <v>0.85</v>
      </c>
      <c r="H159">
        <v>1</v>
      </c>
      <c r="I159" t="s">
        <v>216</v>
      </c>
      <c r="J159">
        <v>0</v>
      </c>
      <c r="K159">
        <v>0</v>
      </c>
      <c r="L159" t="s">
        <v>6</v>
      </c>
      <c r="M159" t="s">
        <v>6</v>
      </c>
      <c r="N159">
        <v>0</v>
      </c>
      <c r="O159">
        <v>0.85</v>
      </c>
      <c r="P159" t="s">
        <v>6</v>
      </c>
      <c r="IF159">
        <v>-1</v>
      </c>
    </row>
    <row r="160" spans="1:240" x14ac:dyDescent="0.2">
      <c r="A160">
        <v>70</v>
      </c>
      <c r="B160">
        <v>1</v>
      </c>
      <c r="D160">
        <v>3</v>
      </c>
      <c r="E160" t="s">
        <v>217</v>
      </c>
      <c r="F160" t="s">
        <v>218</v>
      </c>
      <c r="G160">
        <v>1</v>
      </c>
      <c r="H160">
        <v>0.85</v>
      </c>
      <c r="I160" t="s">
        <v>219</v>
      </c>
      <c r="J160">
        <v>0</v>
      </c>
      <c r="K160">
        <v>0</v>
      </c>
      <c r="L160" t="s">
        <v>6</v>
      </c>
      <c r="M160" t="s">
        <v>6</v>
      </c>
      <c r="N160">
        <v>0</v>
      </c>
      <c r="O160">
        <v>1</v>
      </c>
      <c r="P160" t="s">
        <v>6</v>
      </c>
      <c r="IF160">
        <v>-1</v>
      </c>
    </row>
    <row r="161" spans="1:240" x14ac:dyDescent="0.2">
      <c r="A161">
        <v>70</v>
      </c>
      <c r="B161">
        <v>1</v>
      </c>
      <c r="D161">
        <v>4</v>
      </c>
      <c r="E161" t="s">
        <v>220</v>
      </c>
      <c r="F161" t="s">
        <v>221</v>
      </c>
      <c r="G161">
        <v>1</v>
      </c>
      <c r="H161">
        <v>0</v>
      </c>
      <c r="I161" t="s">
        <v>6</v>
      </c>
      <c r="J161">
        <v>0</v>
      </c>
      <c r="K161">
        <v>0</v>
      </c>
      <c r="L161" t="s">
        <v>6</v>
      </c>
      <c r="M161" t="s">
        <v>6</v>
      </c>
      <c r="N161">
        <v>0</v>
      </c>
      <c r="O161">
        <v>1</v>
      </c>
      <c r="P161" t="s">
        <v>6</v>
      </c>
      <c r="IF161">
        <v>-1</v>
      </c>
    </row>
    <row r="162" spans="1:240" x14ac:dyDescent="0.2">
      <c r="A162">
        <v>70</v>
      </c>
      <c r="B162">
        <v>1</v>
      </c>
      <c r="D162">
        <v>5</v>
      </c>
      <c r="E162" t="s">
        <v>222</v>
      </c>
      <c r="F162" t="s">
        <v>223</v>
      </c>
      <c r="G162">
        <v>1</v>
      </c>
      <c r="H162">
        <v>0.8</v>
      </c>
      <c r="I162" t="s">
        <v>224</v>
      </c>
      <c r="J162">
        <v>0</v>
      </c>
      <c r="K162">
        <v>0</v>
      </c>
      <c r="L162" t="s">
        <v>6</v>
      </c>
      <c r="M162" t="s">
        <v>6</v>
      </c>
      <c r="N162">
        <v>0</v>
      </c>
      <c r="O162">
        <v>1</v>
      </c>
      <c r="P162" t="s">
        <v>6</v>
      </c>
      <c r="IF162">
        <v>-1</v>
      </c>
    </row>
    <row r="163" spans="1:240" x14ac:dyDescent="0.2">
      <c r="A163">
        <v>70</v>
      </c>
      <c r="B163">
        <v>1</v>
      </c>
      <c r="D163">
        <v>6</v>
      </c>
      <c r="E163" t="s">
        <v>225</v>
      </c>
      <c r="F163" t="s">
        <v>226</v>
      </c>
      <c r="G163">
        <v>1</v>
      </c>
      <c r="H163">
        <v>0</v>
      </c>
      <c r="I163" t="s">
        <v>6</v>
      </c>
      <c r="J163">
        <v>0</v>
      </c>
      <c r="K163">
        <v>0</v>
      </c>
      <c r="L163" t="s">
        <v>6</v>
      </c>
      <c r="M163" t="s">
        <v>6</v>
      </c>
      <c r="N163">
        <v>0</v>
      </c>
      <c r="O163">
        <v>0.85</v>
      </c>
      <c r="P163" t="s">
        <v>6</v>
      </c>
      <c r="IF163">
        <v>-1</v>
      </c>
    </row>
    <row r="164" spans="1:240" x14ac:dyDescent="0.2">
      <c r="A164">
        <v>70</v>
      </c>
      <c r="B164">
        <v>1</v>
      </c>
      <c r="D164">
        <v>7</v>
      </c>
      <c r="E164" t="s">
        <v>227</v>
      </c>
      <c r="F164" t="s">
        <v>228</v>
      </c>
      <c r="G164">
        <v>1</v>
      </c>
      <c r="H164">
        <v>0</v>
      </c>
      <c r="I164" t="s">
        <v>6</v>
      </c>
      <c r="J164">
        <v>0</v>
      </c>
      <c r="K164">
        <v>0</v>
      </c>
      <c r="L164" t="s">
        <v>6</v>
      </c>
      <c r="M164" t="s">
        <v>6</v>
      </c>
      <c r="N164">
        <v>0</v>
      </c>
      <c r="O164">
        <v>0.8</v>
      </c>
      <c r="P164" t="s">
        <v>6</v>
      </c>
      <c r="IF164">
        <v>-1</v>
      </c>
    </row>
    <row r="165" spans="1:240" x14ac:dyDescent="0.2">
      <c r="A165">
        <v>70</v>
      </c>
      <c r="B165">
        <v>1</v>
      </c>
      <c r="D165">
        <v>8</v>
      </c>
      <c r="E165" t="s">
        <v>229</v>
      </c>
      <c r="F165" t="s">
        <v>230</v>
      </c>
      <c r="G165">
        <v>0.7</v>
      </c>
      <c r="H165">
        <v>0</v>
      </c>
      <c r="I165" t="s">
        <v>6</v>
      </c>
      <c r="J165">
        <v>0</v>
      </c>
      <c r="K165">
        <v>0</v>
      </c>
      <c r="L165" t="s">
        <v>6</v>
      </c>
      <c r="M165" t="s">
        <v>6</v>
      </c>
      <c r="N165">
        <v>0</v>
      </c>
      <c r="O165">
        <v>0.7</v>
      </c>
      <c r="P165" t="s">
        <v>6</v>
      </c>
      <c r="IF165">
        <v>-1</v>
      </c>
    </row>
    <row r="166" spans="1:240" x14ac:dyDescent="0.2">
      <c r="A166">
        <v>70</v>
      </c>
      <c r="B166">
        <v>1</v>
      </c>
      <c r="D166">
        <v>9</v>
      </c>
      <c r="E166" t="s">
        <v>231</v>
      </c>
      <c r="F166" t="s">
        <v>232</v>
      </c>
      <c r="G166">
        <v>0.9</v>
      </c>
      <c r="H166">
        <v>0</v>
      </c>
      <c r="I166" t="s">
        <v>6</v>
      </c>
      <c r="J166">
        <v>0</v>
      </c>
      <c r="K166">
        <v>0</v>
      </c>
      <c r="L166" t="s">
        <v>6</v>
      </c>
      <c r="M166" t="s">
        <v>6</v>
      </c>
      <c r="N166">
        <v>0</v>
      </c>
      <c r="O166">
        <v>0.9</v>
      </c>
      <c r="P166" t="s">
        <v>6</v>
      </c>
      <c r="IF166">
        <v>-1</v>
      </c>
    </row>
    <row r="167" spans="1:240" x14ac:dyDescent="0.2">
      <c r="A167">
        <v>70</v>
      </c>
      <c r="B167">
        <v>1</v>
      </c>
      <c r="D167">
        <v>10</v>
      </c>
      <c r="E167" t="s">
        <v>233</v>
      </c>
      <c r="F167" t="s">
        <v>234</v>
      </c>
      <c r="G167">
        <v>0.6</v>
      </c>
      <c r="H167">
        <v>0</v>
      </c>
      <c r="I167" t="s">
        <v>6</v>
      </c>
      <c r="J167">
        <v>0</v>
      </c>
      <c r="K167">
        <v>0</v>
      </c>
      <c r="L167" t="s">
        <v>6</v>
      </c>
      <c r="M167" t="s">
        <v>6</v>
      </c>
      <c r="N167">
        <v>0</v>
      </c>
      <c r="O167">
        <v>0.6</v>
      </c>
      <c r="P167" t="s">
        <v>6</v>
      </c>
      <c r="IF167">
        <v>-1</v>
      </c>
    </row>
    <row r="168" spans="1:240" x14ac:dyDescent="0.2">
      <c r="A168">
        <v>70</v>
      </c>
      <c r="B168">
        <v>1</v>
      </c>
      <c r="D168">
        <v>11</v>
      </c>
      <c r="E168" t="s">
        <v>235</v>
      </c>
      <c r="F168" t="s">
        <v>236</v>
      </c>
      <c r="G168">
        <v>1.2</v>
      </c>
      <c r="H168">
        <v>0</v>
      </c>
      <c r="I168" t="s">
        <v>6</v>
      </c>
      <c r="J168">
        <v>0</v>
      </c>
      <c r="K168">
        <v>0</v>
      </c>
      <c r="L168" t="s">
        <v>6</v>
      </c>
      <c r="M168" t="s">
        <v>6</v>
      </c>
      <c r="N168">
        <v>0</v>
      </c>
      <c r="O168">
        <v>1.2</v>
      </c>
      <c r="P168" t="s">
        <v>6</v>
      </c>
      <c r="IF168">
        <v>-1</v>
      </c>
    </row>
    <row r="169" spans="1:240" x14ac:dyDescent="0.2">
      <c r="A169">
        <v>70</v>
      </c>
      <c r="B169">
        <v>1</v>
      </c>
      <c r="D169">
        <v>12</v>
      </c>
      <c r="E169" t="s">
        <v>237</v>
      </c>
      <c r="F169" t="s">
        <v>238</v>
      </c>
      <c r="G169">
        <v>2</v>
      </c>
      <c r="H169">
        <v>0</v>
      </c>
      <c r="I169" t="s">
        <v>6</v>
      </c>
      <c r="J169">
        <v>0</v>
      </c>
      <c r="K169">
        <v>0</v>
      </c>
      <c r="L169" t="s">
        <v>6</v>
      </c>
      <c r="M169" t="s">
        <v>6</v>
      </c>
      <c r="N169">
        <v>0</v>
      </c>
      <c r="O169">
        <v>2</v>
      </c>
      <c r="P169" t="s">
        <v>6</v>
      </c>
      <c r="IF169">
        <v>-1</v>
      </c>
    </row>
    <row r="170" spans="1:240" x14ac:dyDescent="0.2">
      <c r="A170">
        <v>70</v>
      </c>
      <c r="B170">
        <v>1</v>
      </c>
      <c r="D170">
        <v>13</v>
      </c>
      <c r="E170" t="s">
        <v>239</v>
      </c>
      <c r="F170" t="s">
        <v>240</v>
      </c>
      <c r="G170">
        <v>1</v>
      </c>
      <c r="H170">
        <v>0</v>
      </c>
      <c r="I170" t="s">
        <v>6</v>
      </c>
      <c r="J170">
        <v>0</v>
      </c>
      <c r="K170">
        <v>0</v>
      </c>
      <c r="L170" t="s">
        <v>6</v>
      </c>
      <c r="M170" t="s">
        <v>6</v>
      </c>
      <c r="N170">
        <v>0</v>
      </c>
      <c r="O170">
        <v>1</v>
      </c>
      <c r="P170" t="s">
        <v>6</v>
      </c>
      <c r="IF170">
        <v>-1</v>
      </c>
    </row>
    <row r="171" spans="1:240" x14ac:dyDescent="0.2">
      <c r="A171">
        <v>70</v>
      </c>
      <c r="B171">
        <v>1</v>
      </c>
      <c r="D171">
        <v>14</v>
      </c>
      <c r="E171" t="s">
        <v>241</v>
      </c>
      <c r="F171" t="s">
        <v>6</v>
      </c>
      <c r="G171">
        <v>1</v>
      </c>
      <c r="H171">
        <v>0</v>
      </c>
      <c r="I171" t="s">
        <v>6</v>
      </c>
      <c r="J171">
        <v>0</v>
      </c>
      <c r="K171">
        <v>0</v>
      </c>
      <c r="L171" t="s">
        <v>6</v>
      </c>
      <c r="M171" t="s">
        <v>6</v>
      </c>
      <c r="N171">
        <v>0</v>
      </c>
      <c r="O171">
        <v>1</v>
      </c>
      <c r="P171" t="s">
        <v>6</v>
      </c>
      <c r="IF171">
        <v>-1</v>
      </c>
    </row>
    <row r="172" spans="1:240" x14ac:dyDescent="0.2">
      <c r="IF172">
        <v>-1</v>
      </c>
    </row>
    <row r="173" spans="1:240" x14ac:dyDescent="0.2">
      <c r="A173">
        <v>-1</v>
      </c>
      <c r="IF173">
        <v>-1</v>
      </c>
    </row>
    <row r="174" spans="1:240" x14ac:dyDescent="0.2">
      <c r="IF174">
        <v>-1</v>
      </c>
    </row>
    <row r="175" spans="1:240" x14ac:dyDescent="0.2">
      <c r="A175" s="4">
        <v>75</v>
      </c>
      <c r="B175" s="4" t="s">
        <v>242</v>
      </c>
      <c r="C175" s="4">
        <v>2000</v>
      </c>
      <c r="D175" s="4">
        <v>0</v>
      </c>
      <c r="E175" s="4">
        <v>1</v>
      </c>
      <c r="F175" s="4"/>
      <c r="G175" s="4">
        <v>0</v>
      </c>
      <c r="H175" s="4">
        <v>1</v>
      </c>
      <c r="I175" s="4">
        <v>0</v>
      </c>
      <c r="J175" s="4">
        <v>4</v>
      </c>
      <c r="K175" s="4">
        <v>0</v>
      </c>
      <c r="L175" s="4">
        <v>0</v>
      </c>
      <c r="M175" s="4">
        <v>0</v>
      </c>
      <c r="N175" s="4">
        <v>74242616</v>
      </c>
      <c r="O175" s="4">
        <v>1</v>
      </c>
      <c r="IF175">
        <v>-1</v>
      </c>
    </row>
    <row r="176" spans="1:240" x14ac:dyDescent="0.2">
      <c r="A176" s="4">
        <v>75</v>
      </c>
      <c r="B176" s="4" t="s">
        <v>243</v>
      </c>
      <c r="C176" s="4">
        <v>2025</v>
      </c>
      <c r="D176" s="4">
        <v>2</v>
      </c>
      <c r="E176" s="4">
        <v>0</v>
      </c>
      <c r="F176" s="4"/>
      <c r="G176" s="4">
        <v>0</v>
      </c>
      <c r="H176" s="4">
        <v>2</v>
      </c>
      <c r="I176" s="4">
        <v>0</v>
      </c>
      <c r="J176" s="4">
        <v>3</v>
      </c>
      <c r="K176" s="4">
        <v>0</v>
      </c>
      <c r="L176" s="4">
        <v>0</v>
      </c>
      <c r="M176" s="4">
        <v>1</v>
      </c>
      <c r="N176" s="4">
        <v>74242617</v>
      </c>
      <c r="O176" s="4">
        <v>2</v>
      </c>
      <c r="IF176">
        <v>-1</v>
      </c>
    </row>
    <row r="177" spans="1:240" x14ac:dyDescent="0.2">
      <c r="A177" s="6">
        <v>1</v>
      </c>
      <c r="B177" s="6" t="s">
        <v>244</v>
      </c>
      <c r="C177" s="6" t="s">
        <v>245</v>
      </c>
      <c r="D177" s="6">
        <v>2025</v>
      </c>
      <c r="E177" s="6">
        <v>4</v>
      </c>
      <c r="F177" s="6">
        <v>1</v>
      </c>
      <c r="G177" s="6">
        <v>1</v>
      </c>
      <c r="H177" s="6">
        <v>0</v>
      </c>
      <c r="I177" s="6">
        <v>2</v>
      </c>
      <c r="J177" s="6">
        <v>1</v>
      </c>
      <c r="K177" s="6">
        <v>7.56</v>
      </c>
      <c r="L177" s="6">
        <v>4.83</v>
      </c>
      <c r="M177" s="6">
        <v>1</v>
      </c>
      <c r="N177" s="6">
        <v>1</v>
      </c>
      <c r="O177" s="6">
        <v>7.56</v>
      </c>
      <c r="P177" s="6">
        <v>4.83</v>
      </c>
      <c r="Q177" s="6">
        <v>1</v>
      </c>
      <c r="R177" s="6" t="s">
        <v>6</v>
      </c>
      <c r="S177" s="6" t="s">
        <v>6</v>
      </c>
      <c r="T177" s="6" t="s">
        <v>6</v>
      </c>
      <c r="U177" s="6" t="s">
        <v>6</v>
      </c>
      <c r="V177" s="6" t="s">
        <v>6</v>
      </c>
      <c r="W177" s="6" t="s">
        <v>6</v>
      </c>
      <c r="X177" s="6" t="s">
        <v>6</v>
      </c>
      <c r="Y177" s="6" t="s">
        <v>6</v>
      </c>
      <c r="Z177" s="6" t="s">
        <v>6</v>
      </c>
      <c r="AA177" s="6" t="s">
        <v>6</v>
      </c>
      <c r="AB177" s="6"/>
      <c r="AC177" s="6"/>
      <c r="AD177" s="6"/>
      <c r="AE177" s="6"/>
      <c r="AF177" s="6"/>
      <c r="AG177" s="6"/>
      <c r="AH177" s="6"/>
      <c r="AI177" s="6"/>
      <c r="AJ177" s="6"/>
      <c r="AK177" s="6"/>
      <c r="AL177" s="6"/>
      <c r="AM177" s="6"/>
      <c r="AN177" s="6">
        <v>74510410</v>
      </c>
      <c r="AO177" s="6"/>
      <c r="AP177" s="6"/>
      <c r="AQ177" s="6"/>
      <c r="AR177" s="6"/>
      <c r="AS177" s="6"/>
      <c r="AT177" s="6"/>
      <c r="AU177" s="6"/>
      <c r="AV177" s="6"/>
      <c r="AW177" s="6"/>
      <c r="AX177" s="6"/>
      <c r="IF177">
        <v>-1</v>
      </c>
    </row>
    <row r="178" spans="1:240" x14ac:dyDescent="0.2">
      <c r="IF178">
        <v>-1</v>
      </c>
    </row>
    <row r="179" spans="1:240" x14ac:dyDescent="0.2">
      <c r="IF179">
        <v>-1</v>
      </c>
    </row>
    <row r="180" spans="1:240" x14ac:dyDescent="0.2">
      <c r="IF180">
        <v>-1</v>
      </c>
    </row>
    <row r="181" spans="1:240" x14ac:dyDescent="0.2">
      <c r="A181">
        <v>65</v>
      </c>
      <c r="C181">
        <v>1</v>
      </c>
      <c r="D181">
        <v>0</v>
      </c>
      <c r="E181">
        <v>245</v>
      </c>
      <c r="IF181">
        <v>-1</v>
      </c>
    </row>
  </sheetData>
  <printOptions gridLines="1"/>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246</v>
      </c>
      <c r="F1">
        <v>0</v>
      </c>
      <c r="G1">
        <v>0</v>
      </c>
      <c r="H1">
        <v>0</v>
      </c>
      <c r="I1" t="s">
        <v>2</v>
      </c>
      <c r="J1" t="s">
        <v>3</v>
      </c>
      <c r="K1">
        <v>1</v>
      </c>
      <c r="L1">
        <v>20266</v>
      </c>
      <c r="M1">
        <v>66415739</v>
      </c>
      <c r="N1">
        <v>11</v>
      </c>
      <c r="O1">
        <v>11</v>
      </c>
      <c r="P1">
        <v>0</v>
      </c>
      <c r="Q1">
        <v>3</v>
      </c>
    </row>
    <row r="4" spans="1:133" x14ac:dyDescent="0.2">
      <c r="A4" s="1">
        <v>1</v>
      </c>
      <c r="B4" s="1">
        <v>1</v>
      </c>
      <c r="C4" s="1">
        <v>-1</v>
      </c>
      <c r="D4" s="1"/>
      <c r="E4" s="1"/>
      <c r="F4" s="1" t="s">
        <v>4</v>
      </c>
      <c r="G4" s="1" t="s">
        <v>5</v>
      </c>
      <c r="H4" s="1" t="s">
        <v>6</v>
      </c>
      <c r="I4" s="1" t="s">
        <v>6</v>
      </c>
      <c r="J4" s="1" t="s">
        <v>6</v>
      </c>
      <c r="K4" s="1" t="s">
        <v>6</v>
      </c>
      <c r="L4" s="1" t="s">
        <v>6</v>
      </c>
      <c r="M4" s="1" t="s">
        <v>6</v>
      </c>
      <c r="N4" s="1" t="s">
        <v>6</v>
      </c>
      <c r="O4" s="1" t="s">
        <v>6</v>
      </c>
      <c r="P4" s="1">
        <v>0</v>
      </c>
      <c r="Q4" s="1" t="s">
        <v>6</v>
      </c>
      <c r="R4" s="1"/>
      <c r="S4" s="1"/>
      <c r="T4" s="1"/>
      <c r="U4" s="1"/>
      <c r="V4" s="1"/>
      <c r="W4" s="1"/>
      <c r="X4" s="1"/>
      <c r="Y4" s="1"/>
      <c r="Z4" s="1"/>
      <c r="AA4" s="1"/>
      <c r="AB4" s="1"/>
      <c r="AC4" s="1"/>
      <c r="AD4" s="1"/>
      <c r="AE4" s="1">
        <v>0</v>
      </c>
      <c r="BH4" t="s">
        <v>6</v>
      </c>
      <c r="BI4" t="s">
        <v>6</v>
      </c>
      <c r="BJ4" t="s">
        <v>6</v>
      </c>
      <c r="BK4" t="s">
        <v>6</v>
      </c>
      <c r="BL4" t="s">
        <v>6</v>
      </c>
    </row>
    <row r="12" spans="1:133" x14ac:dyDescent="0.2">
      <c r="A12" s="1">
        <v>1</v>
      </c>
      <c r="B12" s="1">
        <v>51</v>
      </c>
      <c r="C12" s="1">
        <v>1</v>
      </c>
      <c r="D12" s="1"/>
      <c r="E12" s="1">
        <v>0</v>
      </c>
      <c r="F12" s="1" t="s">
        <v>7</v>
      </c>
      <c r="G12" s="1" t="s">
        <v>5</v>
      </c>
      <c r="H12" s="1" t="s">
        <v>6</v>
      </c>
      <c r="I12" s="1">
        <v>0</v>
      </c>
      <c r="J12" s="1" t="s">
        <v>8</v>
      </c>
      <c r="K12" s="1">
        <v>0</v>
      </c>
      <c r="L12" s="1">
        <v>0</v>
      </c>
      <c r="M12" s="1">
        <v>3</v>
      </c>
      <c r="N12" s="1"/>
      <c r="O12" s="1">
        <v>0</v>
      </c>
      <c r="P12" s="1">
        <v>0</v>
      </c>
      <c r="Q12" s="1">
        <v>2</v>
      </c>
      <c r="R12" s="1">
        <v>0</v>
      </c>
      <c r="S12" s="1">
        <v>0</v>
      </c>
      <c r="T12" s="1">
        <v>1</v>
      </c>
      <c r="U12" s="1" t="s">
        <v>8</v>
      </c>
      <c r="V12" s="1">
        <v>0</v>
      </c>
      <c r="W12" s="1" t="s">
        <v>6</v>
      </c>
      <c r="X12" s="1" t="s">
        <v>6</v>
      </c>
      <c r="Y12" s="1" t="s">
        <v>6</v>
      </c>
      <c r="Z12" s="1" t="s">
        <v>6</v>
      </c>
      <c r="AA12" s="1" t="s">
        <v>6</v>
      </c>
      <c r="AB12" s="1" t="s">
        <v>6</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9</v>
      </c>
      <c r="BI12" s="1" t="s">
        <v>10</v>
      </c>
      <c r="BJ12" s="1">
        <v>1</v>
      </c>
      <c r="BK12" s="1">
        <v>0</v>
      </c>
      <c r="BL12" s="1">
        <v>0</v>
      </c>
      <c r="BM12" s="1">
        <v>0</v>
      </c>
      <c r="BN12" s="1">
        <v>0</v>
      </c>
      <c r="BO12" s="1">
        <v>0</v>
      </c>
      <c r="BP12" s="1">
        <v>2</v>
      </c>
      <c r="BQ12" s="1">
        <v>0</v>
      </c>
      <c r="BR12" s="1">
        <v>1</v>
      </c>
      <c r="BS12" s="1">
        <v>1</v>
      </c>
      <c r="BT12" s="1">
        <v>0</v>
      </c>
      <c r="BU12" s="1">
        <v>0</v>
      </c>
      <c r="BV12" s="1">
        <v>1</v>
      </c>
      <c r="BW12" s="1">
        <v>0</v>
      </c>
      <c r="BX12" s="1">
        <v>0</v>
      </c>
      <c r="BY12" s="1" t="s">
        <v>11</v>
      </c>
      <c r="BZ12" s="1" t="s">
        <v>12</v>
      </c>
      <c r="CA12" s="1" t="s">
        <v>13</v>
      </c>
      <c r="CB12" s="1" t="s">
        <v>13</v>
      </c>
      <c r="CC12" s="1" t="s">
        <v>13</v>
      </c>
      <c r="CD12" s="1" t="s">
        <v>14</v>
      </c>
      <c r="CE12" s="1" t="s">
        <v>15</v>
      </c>
      <c r="CF12" s="1">
        <v>0</v>
      </c>
      <c r="CG12" s="1">
        <v>0</v>
      </c>
      <c r="CH12" s="1">
        <v>86549001</v>
      </c>
      <c r="CI12" s="1" t="s">
        <v>6</v>
      </c>
      <c r="CJ12" s="1" t="s">
        <v>6</v>
      </c>
      <c r="CK12" s="1">
        <v>0</v>
      </c>
      <c r="CL12" s="1"/>
      <c r="CM12" s="1"/>
      <c r="CN12" s="1"/>
      <c r="CO12" s="1"/>
      <c r="CP12" s="1"/>
      <c r="CQ12" s="1"/>
      <c r="CR12" s="1"/>
      <c r="CS12" s="1"/>
      <c r="CT12" s="1"/>
      <c r="CU12" s="1"/>
      <c r="CV12" s="1"/>
      <c r="CW12" s="1"/>
      <c r="CX12" s="1"/>
      <c r="CY12" s="1">
        <v>0</v>
      </c>
      <c r="CZ12" s="1" t="s">
        <v>6</v>
      </c>
      <c r="DA12" s="1" t="s">
        <v>6</v>
      </c>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74242616</v>
      </c>
      <c r="E14" s="1">
        <v>74242617</v>
      </c>
      <c r="F14" s="1">
        <v>2</v>
      </c>
      <c r="G14" s="1">
        <v>1</v>
      </c>
      <c r="H14" s="1"/>
      <c r="I14" s="1"/>
      <c r="J14" s="1"/>
      <c r="K14" s="1"/>
      <c r="L14" s="1"/>
      <c r="M14" s="1"/>
      <c r="N14" s="1"/>
      <c r="O14" s="1"/>
    </row>
    <row r="16" spans="1:133" x14ac:dyDescent="0.2">
      <c r="A16" s="7">
        <v>3</v>
      </c>
      <c r="B16" s="7">
        <v>0</v>
      </c>
      <c r="C16" s="7" t="s">
        <v>16</v>
      </c>
      <c r="D16" s="7" t="s">
        <v>17</v>
      </c>
      <c r="E16" s="8">
        <f>ROUND((Source!F99)/1000,2)</f>
        <v>67.92</v>
      </c>
      <c r="F16" s="8">
        <f>ROUND((Source!F100)/1000,2)</f>
        <v>0</v>
      </c>
      <c r="G16" s="8">
        <f>ROUND((Source!F91)/1000,2)</f>
        <v>0</v>
      </c>
      <c r="H16" s="8">
        <f>ROUND((Source!F101)/1000+(Source!F102)/1000,2)</f>
        <v>0</v>
      </c>
      <c r="I16" s="8">
        <f>E16+F16+G16+H16</f>
        <v>67.92</v>
      </c>
      <c r="J16" s="8">
        <f>ROUND((Source!F97+Source!F96)/1000,2)</f>
        <v>13.67</v>
      </c>
      <c r="T16" s="9" t="e">
        <f>ROUND((Source!P99)/1000,2)</f>
        <v>#REF!</v>
      </c>
      <c r="U16" s="9">
        <f>ROUND((Source!P100)/1000,2)</f>
        <v>0</v>
      </c>
      <c r="V16" s="9">
        <f>ROUND((Source!P91)/1000,2)</f>
        <v>0</v>
      </c>
      <c r="W16" s="9">
        <f>ROUND((Source!P101)/1000+(Source!P102)/1000,2)</f>
        <v>0</v>
      </c>
      <c r="X16" s="9" t="e">
        <f>T16+U16+V16+W16</f>
        <v>#REF!</v>
      </c>
      <c r="Y16" s="9">
        <f>ROUND((Source!P97+Source!P96)/1000,2)</f>
        <v>474.45</v>
      </c>
      <c r="AI16" s="7">
        <v>0</v>
      </c>
      <c r="AJ16" s="7">
        <v>-1</v>
      </c>
      <c r="AK16" s="7" t="s">
        <v>6</v>
      </c>
      <c r="AL16" s="7" t="s">
        <v>6</v>
      </c>
      <c r="AM16" s="7" t="s">
        <v>6</v>
      </c>
      <c r="AN16" s="7">
        <v>0</v>
      </c>
      <c r="AO16" s="7" t="s">
        <v>6</v>
      </c>
      <c r="AP16" s="7" t="s">
        <v>6</v>
      </c>
      <c r="AT16" s="8">
        <v>46058</v>
      </c>
      <c r="AU16" s="8">
        <v>31709</v>
      </c>
      <c r="AV16" s="8">
        <v>0</v>
      </c>
      <c r="AW16" s="8">
        <v>0</v>
      </c>
      <c r="AX16" s="8">
        <v>0</v>
      </c>
      <c r="AY16" s="8">
        <v>711</v>
      </c>
      <c r="AZ16" s="8">
        <v>27</v>
      </c>
      <c r="BA16" s="8">
        <v>13638</v>
      </c>
      <c r="BB16" s="8">
        <v>52385</v>
      </c>
      <c r="BC16" s="8">
        <v>0</v>
      </c>
      <c r="BD16" s="8">
        <v>0</v>
      </c>
      <c r="BE16" s="8">
        <v>0</v>
      </c>
      <c r="BF16" s="8">
        <v>1404.7252799999999</v>
      </c>
      <c r="BG16" s="8">
        <v>2.3104999999999998</v>
      </c>
      <c r="BH16" s="8">
        <v>16</v>
      </c>
      <c r="BI16" s="8">
        <v>14348</v>
      </c>
      <c r="BJ16" s="8">
        <v>7515</v>
      </c>
      <c r="BK16" s="8">
        <v>67921</v>
      </c>
      <c r="BR16" s="9">
        <v>642292</v>
      </c>
      <c r="BS16" s="9">
        <v>159520</v>
      </c>
      <c r="BT16" s="9">
        <v>0</v>
      </c>
      <c r="BU16" s="9">
        <v>0</v>
      </c>
      <c r="BV16" s="9">
        <v>0</v>
      </c>
      <c r="BW16" s="9">
        <v>9086</v>
      </c>
      <c r="BX16" s="9">
        <v>768</v>
      </c>
      <c r="BY16" s="9">
        <v>473686</v>
      </c>
      <c r="BZ16" s="9">
        <v>1339606</v>
      </c>
      <c r="CA16" s="9">
        <v>0</v>
      </c>
      <c r="CB16" s="9">
        <v>0</v>
      </c>
      <c r="CC16" s="9">
        <v>0</v>
      </c>
      <c r="CD16" s="9">
        <v>1404.7252799999999</v>
      </c>
      <c r="CE16" s="9">
        <v>2.3104999999999998</v>
      </c>
      <c r="CF16" s="9">
        <v>16</v>
      </c>
      <c r="CG16" s="9">
        <v>498177</v>
      </c>
      <c r="CH16" s="9">
        <v>260949</v>
      </c>
      <c r="CI16" s="9">
        <v>1401418</v>
      </c>
    </row>
    <row r="18" spans="1:40" x14ac:dyDescent="0.2">
      <c r="A18">
        <v>51</v>
      </c>
      <c r="E18" s="10">
        <f>SUMIF(A16:A17,3,E16:E17)</f>
        <v>67.92</v>
      </c>
      <c r="F18" s="10">
        <f>SUMIF(A16:A17,3,F16:F17)</f>
        <v>0</v>
      </c>
      <c r="G18" s="10">
        <f>SUMIF(A16:A17,3,G16:G17)</f>
        <v>0</v>
      </c>
      <c r="H18" s="10">
        <f>SUMIF(A16:A17,3,H16:H17)</f>
        <v>0</v>
      </c>
      <c r="I18" s="10">
        <f>SUMIF(A16:A17,3,I16:I17)</f>
        <v>67.92</v>
      </c>
      <c r="J18" s="10">
        <f>SUMIF(A16:A17,3,J16:J17)</f>
        <v>13.67</v>
      </c>
      <c r="K18" s="10"/>
      <c r="L18" s="10"/>
      <c r="M18" s="10"/>
      <c r="N18" s="10"/>
      <c r="O18" s="10"/>
      <c r="P18" s="10"/>
      <c r="Q18" s="10"/>
      <c r="R18" s="10"/>
      <c r="S18" s="10"/>
      <c r="T18" s="3" t="e">
        <f>SUMIF(A16:A17,3,T16:T17)</f>
        <v>#REF!</v>
      </c>
      <c r="U18" s="3">
        <f>SUMIF(A16:A17,3,U16:U17)</f>
        <v>0</v>
      </c>
      <c r="V18" s="3">
        <f>SUMIF(A16:A17,3,V16:V17)</f>
        <v>0</v>
      </c>
      <c r="W18" s="3">
        <f>SUMIF(A16:A17,3,W16:W17)</f>
        <v>0</v>
      </c>
      <c r="X18" s="3" t="e">
        <f>SUMIF(A16:A17,3,X16:X17)</f>
        <v>#REF!</v>
      </c>
      <c r="Y18" s="3">
        <f>SUMIF(A16:A17,3,Y16:Y17)</f>
        <v>474.45</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46058</v>
      </c>
      <c r="G20" s="5" t="s">
        <v>109</v>
      </c>
      <c r="H20" s="5" t="s">
        <v>110</v>
      </c>
      <c r="I20" s="5"/>
      <c r="J20" s="5"/>
      <c r="K20" s="5">
        <v>201</v>
      </c>
      <c r="L20" s="5">
        <v>1</v>
      </c>
      <c r="M20" s="5">
        <v>3</v>
      </c>
      <c r="N20" s="5" t="s">
        <v>6</v>
      </c>
      <c r="O20" s="5">
        <v>0</v>
      </c>
      <c r="P20" s="5">
        <v>642292</v>
      </c>
    </row>
    <row r="21" spans="1:40" x14ac:dyDescent="0.2">
      <c r="A21" s="5">
        <v>50</v>
      </c>
      <c r="B21" s="5">
        <v>0</v>
      </c>
      <c r="C21" s="5">
        <v>0</v>
      </c>
      <c r="D21" s="5">
        <v>1</v>
      </c>
      <c r="E21" s="5">
        <v>202</v>
      </c>
      <c r="F21" s="5">
        <v>31709</v>
      </c>
      <c r="G21" s="5" t="s">
        <v>111</v>
      </c>
      <c r="H21" s="5" t="s">
        <v>112</v>
      </c>
      <c r="I21" s="5"/>
      <c r="J21" s="5"/>
      <c r="K21" s="5">
        <v>202</v>
      </c>
      <c r="L21" s="5">
        <v>2</v>
      </c>
      <c r="M21" s="5">
        <v>3</v>
      </c>
      <c r="N21" s="5" t="s">
        <v>6</v>
      </c>
      <c r="O21" s="5">
        <v>0</v>
      </c>
      <c r="P21" s="5">
        <v>159520</v>
      </c>
    </row>
    <row r="22" spans="1:40" x14ac:dyDescent="0.2">
      <c r="A22" s="5">
        <v>50</v>
      </c>
      <c r="B22" s="5">
        <v>0</v>
      </c>
      <c r="C22" s="5">
        <v>0</v>
      </c>
      <c r="D22" s="5">
        <v>1</v>
      </c>
      <c r="E22" s="5">
        <v>222</v>
      </c>
      <c r="F22" s="5">
        <v>0</v>
      </c>
      <c r="G22" s="5" t="s">
        <v>113</v>
      </c>
      <c r="H22" s="5" t="s">
        <v>114</v>
      </c>
      <c r="I22" s="5"/>
      <c r="J22" s="5"/>
      <c r="K22" s="5">
        <v>222</v>
      </c>
      <c r="L22" s="5">
        <v>3</v>
      </c>
      <c r="M22" s="5">
        <v>3</v>
      </c>
      <c r="N22" s="5" t="s">
        <v>6</v>
      </c>
      <c r="O22" s="5">
        <v>0</v>
      </c>
      <c r="P22" s="5">
        <v>0</v>
      </c>
    </row>
    <row r="23" spans="1:40" x14ac:dyDescent="0.2">
      <c r="A23" s="5">
        <v>50</v>
      </c>
      <c r="B23" s="5">
        <v>0</v>
      </c>
      <c r="C23" s="5">
        <v>0</v>
      </c>
      <c r="D23" s="5">
        <v>1</v>
      </c>
      <c r="E23" s="5">
        <v>225</v>
      </c>
      <c r="F23" s="5">
        <v>31709</v>
      </c>
      <c r="G23" s="5" t="s">
        <v>115</v>
      </c>
      <c r="H23" s="5" t="s">
        <v>116</v>
      </c>
      <c r="I23" s="5"/>
      <c r="J23" s="5"/>
      <c r="K23" s="5">
        <v>225</v>
      </c>
      <c r="L23" s="5">
        <v>4</v>
      </c>
      <c r="M23" s="5">
        <v>3</v>
      </c>
      <c r="N23" s="5" t="s">
        <v>6</v>
      </c>
      <c r="O23" s="5">
        <v>0</v>
      </c>
      <c r="P23" s="5">
        <v>159520</v>
      </c>
    </row>
    <row r="24" spans="1:40" x14ac:dyDescent="0.2">
      <c r="A24" s="5">
        <v>50</v>
      </c>
      <c r="B24" s="5">
        <v>0</v>
      </c>
      <c r="C24" s="5">
        <v>0</v>
      </c>
      <c r="D24" s="5">
        <v>1</v>
      </c>
      <c r="E24" s="5">
        <v>226</v>
      </c>
      <c r="F24" s="5">
        <v>31709</v>
      </c>
      <c r="G24" s="5" t="s">
        <v>117</v>
      </c>
      <c r="H24" s="5" t="s">
        <v>118</v>
      </c>
      <c r="I24" s="5"/>
      <c r="J24" s="5"/>
      <c r="K24" s="5">
        <v>226</v>
      </c>
      <c r="L24" s="5">
        <v>5</v>
      </c>
      <c r="M24" s="5">
        <v>3</v>
      </c>
      <c r="N24" s="5" t="s">
        <v>6</v>
      </c>
      <c r="O24" s="5">
        <v>0</v>
      </c>
      <c r="P24" s="5">
        <v>159520</v>
      </c>
    </row>
    <row r="25" spans="1:40" x14ac:dyDescent="0.2">
      <c r="A25" s="5">
        <v>50</v>
      </c>
      <c r="B25" s="5">
        <v>0</v>
      </c>
      <c r="C25" s="5">
        <v>0</v>
      </c>
      <c r="D25" s="5">
        <v>1</v>
      </c>
      <c r="E25" s="5">
        <v>227</v>
      </c>
      <c r="F25" s="5">
        <v>0</v>
      </c>
      <c r="G25" s="5" t="s">
        <v>119</v>
      </c>
      <c r="H25" s="5" t="s">
        <v>120</v>
      </c>
      <c r="I25" s="5"/>
      <c r="J25" s="5"/>
      <c r="K25" s="5">
        <v>227</v>
      </c>
      <c r="L25" s="5">
        <v>6</v>
      </c>
      <c r="M25" s="5">
        <v>3</v>
      </c>
      <c r="N25" s="5" t="s">
        <v>6</v>
      </c>
      <c r="O25" s="5">
        <v>0</v>
      </c>
      <c r="P25" s="5">
        <v>0</v>
      </c>
    </row>
    <row r="26" spans="1:40" x14ac:dyDescent="0.2">
      <c r="A26" s="5">
        <v>50</v>
      </c>
      <c r="B26" s="5">
        <v>0</v>
      </c>
      <c r="C26" s="5">
        <v>0</v>
      </c>
      <c r="D26" s="5">
        <v>1</v>
      </c>
      <c r="E26" s="5">
        <v>228</v>
      </c>
      <c r="F26" s="5">
        <v>31709</v>
      </c>
      <c r="G26" s="5" t="s">
        <v>121</v>
      </c>
      <c r="H26" s="5" t="s">
        <v>122</v>
      </c>
      <c r="I26" s="5"/>
      <c r="J26" s="5"/>
      <c r="K26" s="5">
        <v>228</v>
      </c>
      <c r="L26" s="5">
        <v>7</v>
      </c>
      <c r="M26" s="5">
        <v>3</v>
      </c>
      <c r="N26" s="5" t="s">
        <v>6</v>
      </c>
      <c r="O26" s="5">
        <v>0</v>
      </c>
      <c r="P26" s="5">
        <v>159520</v>
      </c>
    </row>
    <row r="27" spans="1:40" x14ac:dyDescent="0.2">
      <c r="A27" s="5">
        <v>50</v>
      </c>
      <c r="B27" s="5">
        <v>0</v>
      </c>
      <c r="C27" s="5">
        <v>0</v>
      </c>
      <c r="D27" s="5">
        <v>1</v>
      </c>
      <c r="E27" s="5">
        <v>216</v>
      </c>
      <c r="F27" s="5">
        <v>0</v>
      </c>
      <c r="G27" s="5" t="s">
        <v>123</v>
      </c>
      <c r="H27" s="5" t="s">
        <v>124</v>
      </c>
      <c r="I27" s="5"/>
      <c r="J27" s="5"/>
      <c r="K27" s="5">
        <v>216</v>
      </c>
      <c r="L27" s="5">
        <v>8</v>
      </c>
      <c r="M27" s="5">
        <v>3</v>
      </c>
      <c r="N27" s="5" t="s">
        <v>6</v>
      </c>
      <c r="O27" s="5">
        <v>0</v>
      </c>
      <c r="P27" s="5">
        <v>0</v>
      </c>
    </row>
    <row r="28" spans="1:40" x14ac:dyDescent="0.2">
      <c r="A28" s="5">
        <v>50</v>
      </c>
      <c r="B28" s="5">
        <v>0</v>
      </c>
      <c r="C28" s="5">
        <v>0</v>
      </c>
      <c r="D28" s="5">
        <v>1</v>
      </c>
      <c r="E28" s="5">
        <v>223</v>
      </c>
      <c r="F28" s="5">
        <v>0</v>
      </c>
      <c r="G28" s="5" t="s">
        <v>125</v>
      </c>
      <c r="H28" s="5" t="s">
        <v>126</v>
      </c>
      <c r="I28" s="5"/>
      <c r="J28" s="5"/>
      <c r="K28" s="5">
        <v>223</v>
      </c>
      <c r="L28" s="5">
        <v>9</v>
      </c>
      <c r="M28" s="5">
        <v>3</v>
      </c>
      <c r="N28" s="5" t="s">
        <v>6</v>
      </c>
      <c r="O28" s="5">
        <v>0</v>
      </c>
      <c r="P28" s="5">
        <v>0</v>
      </c>
    </row>
    <row r="29" spans="1:40" x14ac:dyDescent="0.2">
      <c r="A29" s="5">
        <v>50</v>
      </c>
      <c r="B29" s="5">
        <v>0</v>
      </c>
      <c r="C29" s="5">
        <v>0</v>
      </c>
      <c r="D29" s="5">
        <v>1</v>
      </c>
      <c r="E29" s="5">
        <v>229</v>
      </c>
      <c r="F29" s="5">
        <v>0</v>
      </c>
      <c r="G29" s="5" t="s">
        <v>127</v>
      </c>
      <c r="H29" s="5" t="s">
        <v>128</v>
      </c>
      <c r="I29" s="5"/>
      <c r="J29" s="5"/>
      <c r="K29" s="5">
        <v>229</v>
      </c>
      <c r="L29" s="5">
        <v>10</v>
      </c>
      <c r="M29" s="5">
        <v>3</v>
      </c>
      <c r="N29" s="5" t="s">
        <v>6</v>
      </c>
      <c r="O29" s="5">
        <v>0</v>
      </c>
      <c r="P29" s="5">
        <v>0</v>
      </c>
    </row>
    <row r="30" spans="1:40" x14ac:dyDescent="0.2">
      <c r="A30" s="5">
        <v>50</v>
      </c>
      <c r="B30" s="5">
        <v>0</v>
      </c>
      <c r="C30" s="5">
        <v>0</v>
      </c>
      <c r="D30" s="5">
        <v>1</v>
      </c>
      <c r="E30" s="5">
        <v>203</v>
      </c>
      <c r="F30" s="5">
        <v>711</v>
      </c>
      <c r="G30" s="5" t="s">
        <v>129</v>
      </c>
      <c r="H30" s="5" t="s">
        <v>130</v>
      </c>
      <c r="I30" s="5"/>
      <c r="J30" s="5"/>
      <c r="K30" s="5">
        <v>203</v>
      </c>
      <c r="L30" s="5">
        <v>11</v>
      </c>
      <c r="M30" s="5">
        <v>3</v>
      </c>
      <c r="N30" s="5" t="s">
        <v>6</v>
      </c>
      <c r="O30" s="5">
        <v>0</v>
      </c>
      <c r="P30" s="5">
        <v>9086</v>
      </c>
    </row>
    <row r="31" spans="1:40" x14ac:dyDescent="0.2">
      <c r="A31" s="5">
        <v>50</v>
      </c>
      <c r="B31" s="5">
        <v>0</v>
      </c>
      <c r="C31" s="5">
        <v>0</v>
      </c>
      <c r="D31" s="5">
        <v>1</v>
      </c>
      <c r="E31" s="5">
        <v>231</v>
      </c>
      <c r="F31" s="5">
        <v>0</v>
      </c>
      <c r="G31" s="5" t="s">
        <v>131</v>
      </c>
      <c r="H31" s="5" t="s">
        <v>132</v>
      </c>
      <c r="I31" s="5"/>
      <c r="J31" s="5"/>
      <c r="K31" s="5">
        <v>231</v>
      </c>
      <c r="L31" s="5">
        <v>12</v>
      </c>
      <c r="M31" s="5">
        <v>3</v>
      </c>
      <c r="N31" s="5" t="s">
        <v>6</v>
      </c>
      <c r="O31" s="5">
        <v>0</v>
      </c>
      <c r="P31" s="5">
        <v>0</v>
      </c>
    </row>
    <row r="32" spans="1:40" x14ac:dyDescent="0.2">
      <c r="A32" s="5">
        <v>50</v>
      </c>
      <c r="B32" s="5">
        <v>0</v>
      </c>
      <c r="C32" s="5">
        <v>0</v>
      </c>
      <c r="D32" s="5">
        <v>1</v>
      </c>
      <c r="E32" s="5">
        <v>204</v>
      </c>
      <c r="F32" s="5">
        <v>27</v>
      </c>
      <c r="G32" s="5" t="s">
        <v>133</v>
      </c>
      <c r="H32" s="5" t="s">
        <v>134</v>
      </c>
      <c r="I32" s="5"/>
      <c r="J32" s="5"/>
      <c r="K32" s="5">
        <v>204</v>
      </c>
      <c r="L32" s="5">
        <v>13</v>
      </c>
      <c r="M32" s="5">
        <v>3</v>
      </c>
      <c r="N32" s="5" t="s">
        <v>6</v>
      </c>
      <c r="O32" s="5">
        <v>0</v>
      </c>
      <c r="P32" s="5">
        <v>768</v>
      </c>
    </row>
    <row r="33" spans="1:16" x14ac:dyDescent="0.2">
      <c r="A33" s="5">
        <v>50</v>
      </c>
      <c r="B33" s="5">
        <v>0</v>
      </c>
      <c r="C33" s="5">
        <v>0</v>
      </c>
      <c r="D33" s="5">
        <v>1</v>
      </c>
      <c r="E33" s="5">
        <v>205</v>
      </c>
      <c r="F33" s="5">
        <v>13638</v>
      </c>
      <c r="G33" s="5" t="s">
        <v>135</v>
      </c>
      <c r="H33" s="5" t="s">
        <v>136</v>
      </c>
      <c r="I33" s="5"/>
      <c r="J33" s="5"/>
      <c r="K33" s="5">
        <v>205</v>
      </c>
      <c r="L33" s="5">
        <v>14</v>
      </c>
      <c r="M33" s="5">
        <v>3</v>
      </c>
      <c r="N33" s="5" t="s">
        <v>6</v>
      </c>
      <c r="O33" s="5">
        <v>0</v>
      </c>
      <c r="P33" s="5">
        <v>473686</v>
      </c>
    </row>
    <row r="34" spans="1:16" x14ac:dyDescent="0.2">
      <c r="A34" s="5">
        <v>50</v>
      </c>
      <c r="B34" s="5">
        <v>0</v>
      </c>
      <c r="C34" s="5">
        <v>0</v>
      </c>
      <c r="D34" s="5">
        <v>1</v>
      </c>
      <c r="E34" s="5">
        <v>232</v>
      </c>
      <c r="F34" s="5">
        <v>0</v>
      </c>
      <c r="G34" s="5" t="s">
        <v>137</v>
      </c>
      <c r="H34" s="5" t="s">
        <v>138</v>
      </c>
      <c r="I34" s="5"/>
      <c r="J34" s="5"/>
      <c r="K34" s="5">
        <v>232</v>
      </c>
      <c r="L34" s="5">
        <v>15</v>
      </c>
      <c r="M34" s="5">
        <v>3</v>
      </c>
      <c r="N34" s="5" t="s">
        <v>6</v>
      </c>
      <c r="O34" s="5">
        <v>0</v>
      </c>
      <c r="P34" s="5">
        <v>0</v>
      </c>
    </row>
    <row r="35" spans="1:16" x14ac:dyDescent="0.2">
      <c r="A35" s="5">
        <v>50</v>
      </c>
      <c r="B35" s="5">
        <v>0</v>
      </c>
      <c r="C35" s="5">
        <v>0</v>
      </c>
      <c r="D35" s="5">
        <v>1</v>
      </c>
      <c r="E35" s="5">
        <v>214</v>
      </c>
      <c r="F35" s="5">
        <v>52385</v>
      </c>
      <c r="G35" s="5" t="s">
        <v>139</v>
      </c>
      <c r="H35" s="5" t="s">
        <v>140</v>
      </c>
      <c r="I35" s="5"/>
      <c r="J35" s="5"/>
      <c r="K35" s="5">
        <v>214</v>
      </c>
      <c r="L35" s="5">
        <v>16</v>
      </c>
      <c r="M35" s="5">
        <v>3</v>
      </c>
      <c r="N35" s="5" t="s">
        <v>6</v>
      </c>
      <c r="O35" s="5">
        <v>0</v>
      </c>
      <c r="P35" s="5">
        <v>1339606</v>
      </c>
    </row>
    <row r="36" spans="1:16" x14ac:dyDescent="0.2">
      <c r="A36" s="5">
        <v>50</v>
      </c>
      <c r="B36" s="5">
        <v>0</v>
      </c>
      <c r="C36" s="5">
        <v>0</v>
      </c>
      <c r="D36" s="5">
        <v>1</v>
      </c>
      <c r="E36" s="5">
        <v>215</v>
      </c>
      <c r="F36" s="5">
        <v>0</v>
      </c>
      <c r="G36" s="5" t="s">
        <v>141</v>
      </c>
      <c r="H36" s="5" t="s">
        <v>142</v>
      </c>
      <c r="I36" s="5"/>
      <c r="J36" s="5"/>
      <c r="K36" s="5">
        <v>215</v>
      </c>
      <c r="L36" s="5">
        <v>17</v>
      </c>
      <c r="M36" s="5">
        <v>3</v>
      </c>
      <c r="N36" s="5" t="s">
        <v>6</v>
      </c>
      <c r="O36" s="5">
        <v>0</v>
      </c>
      <c r="P36" s="5">
        <v>0</v>
      </c>
    </row>
    <row r="37" spans="1:16" x14ac:dyDescent="0.2">
      <c r="A37" s="5">
        <v>50</v>
      </c>
      <c r="B37" s="5">
        <v>0</v>
      </c>
      <c r="C37" s="5">
        <v>0</v>
      </c>
      <c r="D37" s="5">
        <v>1</v>
      </c>
      <c r="E37" s="5">
        <v>217</v>
      </c>
      <c r="F37" s="5">
        <v>0</v>
      </c>
      <c r="G37" s="5" t="s">
        <v>143</v>
      </c>
      <c r="H37" s="5" t="s">
        <v>144</v>
      </c>
      <c r="I37" s="5"/>
      <c r="J37" s="5"/>
      <c r="K37" s="5">
        <v>217</v>
      </c>
      <c r="L37" s="5">
        <v>18</v>
      </c>
      <c r="M37" s="5">
        <v>3</v>
      </c>
      <c r="N37" s="5" t="s">
        <v>6</v>
      </c>
      <c r="O37" s="5">
        <v>0</v>
      </c>
      <c r="P37" s="5">
        <v>0</v>
      </c>
    </row>
    <row r="38" spans="1:16" x14ac:dyDescent="0.2">
      <c r="A38" s="5">
        <v>50</v>
      </c>
      <c r="B38" s="5">
        <v>0</v>
      </c>
      <c r="C38" s="5">
        <v>0</v>
      </c>
      <c r="D38" s="5">
        <v>1</v>
      </c>
      <c r="E38" s="5">
        <v>230</v>
      </c>
      <c r="F38" s="5">
        <v>0</v>
      </c>
      <c r="G38" s="5" t="s">
        <v>145</v>
      </c>
      <c r="H38" s="5" t="s">
        <v>146</v>
      </c>
      <c r="I38" s="5"/>
      <c r="J38" s="5"/>
      <c r="K38" s="5">
        <v>230</v>
      </c>
      <c r="L38" s="5">
        <v>19</v>
      </c>
      <c r="M38" s="5">
        <v>3</v>
      </c>
      <c r="N38" s="5" t="s">
        <v>6</v>
      </c>
      <c r="O38" s="5">
        <v>0</v>
      </c>
      <c r="P38" s="5">
        <v>0</v>
      </c>
    </row>
    <row r="39" spans="1:16" x14ac:dyDescent="0.2">
      <c r="A39" s="5">
        <v>50</v>
      </c>
      <c r="B39" s="5">
        <v>0</v>
      </c>
      <c r="C39" s="5">
        <v>0</v>
      </c>
      <c r="D39" s="5">
        <v>1</v>
      </c>
      <c r="E39" s="5">
        <v>206</v>
      </c>
      <c r="F39" s="5">
        <v>0</v>
      </c>
      <c r="G39" s="5" t="s">
        <v>147</v>
      </c>
      <c r="H39" s="5" t="s">
        <v>148</v>
      </c>
      <c r="I39" s="5"/>
      <c r="J39" s="5"/>
      <c r="K39" s="5">
        <v>206</v>
      </c>
      <c r="L39" s="5">
        <v>20</v>
      </c>
      <c r="M39" s="5">
        <v>3</v>
      </c>
      <c r="N39" s="5" t="s">
        <v>6</v>
      </c>
      <c r="O39" s="5">
        <v>0</v>
      </c>
      <c r="P39" s="5">
        <v>0</v>
      </c>
    </row>
    <row r="40" spans="1:16" x14ac:dyDescent="0.2">
      <c r="A40" s="5">
        <v>50</v>
      </c>
      <c r="B40" s="5">
        <v>0</v>
      </c>
      <c r="C40" s="5">
        <v>0</v>
      </c>
      <c r="D40" s="5">
        <v>1</v>
      </c>
      <c r="E40" s="5">
        <v>207</v>
      </c>
      <c r="F40" s="5">
        <v>1404.7252799999999</v>
      </c>
      <c r="G40" s="5" t="s">
        <v>149</v>
      </c>
      <c r="H40" s="5" t="s">
        <v>150</v>
      </c>
      <c r="I40" s="5"/>
      <c r="J40" s="5"/>
      <c r="K40" s="5">
        <v>207</v>
      </c>
      <c r="L40" s="5">
        <v>21</v>
      </c>
      <c r="M40" s="5">
        <v>3</v>
      </c>
      <c r="N40" s="5" t="s">
        <v>6</v>
      </c>
      <c r="O40" s="5">
        <v>-1</v>
      </c>
      <c r="P40" s="5">
        <v>1404.7252799999999</v>
      </c>
    </row>
    <row r="41" spans="1:16" x14ac:dyDescent="0.2">
      <c r="A41" s="5">
        <v>50</v>
      </c>
      <c r="B41" s="5">
        <v>0</v>
      </c>
      <c r="C41" s="5">
        <v>0</v>
      </c>
      <c r="D41" s="5">
        <v>1</v>
      </c>
      <c r="E41" s="5">
        <v>208</v>
      </c>
      <c r="F41" s="5">
        <v>2.3104999999999998</v>
      </c>
      <c r="G41" s="5" t="s">
        <v>151</v>
      </c>
      <c r="H41" s="5" t="s">
        <v>152</v>
      </c>
      <c r="I41" s="5"/>
      <c r="J41" s="5"/>
      <c r="K41" s="5">
        <v>208</v>
      </c>
      <c r="L41" s="5">
        <v>22</v>
      </c>
      <c r="M41" s="5">
        <v>3</v>
      </c>
      <c r="N41" s="5" t="s">
        <v>6</v>
      </c>
      <c r="O41" s="5">
        <v>-1</v>
      </c>
      <c r="P41" s="5">
        <v>2.3104999999999998</v>
      </c>
    </row>
    <row r="42" spans="1:16" x14ac:dyDescent="0.2">
      <c r="A42" s="5">
        <v>50</v>
      </c>
      <c r="B42" s="5">
        <v>0</v>
      </c>
      <c r="C42" s="5">
        <v>0</v>
      </c>
      <c r="D42" s="5">
        <v>1</v>
      </c>
      <c r="E42" s="5">
        <v>209</v>
      </c>
      <c r="F42" s="5">
        <v>16</v>
      </c>
      <c r="G42" s="5" t="s">
        <v>153</v>
      </c>
      <c r="H42" s="5" t="s">
        <v>154</v>
      </c>
      <c r="I42" s="5"/>
      <c r="J42" s="5"/>
      <c r="K42" s="5">
        <v>209</v>
      </c>
      <c r="L42" s="5">
        <v>23</v>
      </c>
      <c r="M42" s="5">
        <v>3</v>
      </c>
      <c r="N42" s="5" t="s">
        <v>6</v>
      </c>
      <c r="O42" s="5">
        <v>0</v>
      </c>
      <c r="P42" s="5">
        <v>16</v>
      </c>
    </row>
    <row r="43" spans="1:16" x14ac:dyDescent="0.2">
      <c r="A43" s="5">
        <v>50</v>
      </c>
      <c r="B43" s="5">
        <v>0</v>
      </c>
      <c r="C43" s="5">
        <v>0</v>
      </c>
      <c r="D43" s="5">
        <v>1</v>
      </c>
      <c r="E43" s="5">
        <v>233</v>
      </c>
      <c r="F43" s="5">
        <v>0</v>
      </c>
      <c r="G43" s="5" t="s">
        <v>155</v>
      </c>
      <c r="H43" s="5" t="s">
        <v>156</v>
      </c>
      <c r="I43" s="5"/>
      <c r="J43" s="5"/>
      <c r="K43" s="5">
        <v>233</v>
      </c>
      <c r="L43" s="5">
        <v>24</v>
      </c>
      <c r="M43" s="5">
        <v>3</v>
      </c>
      <c r="N43" s="5" t="s">
        <v>6</v>
      </c>
      <c r="O43" s="5">
        <v>0</v>
      </c>
      <c r="P43" s="5">
        <v>0</v>
      </c>
    </row>
    <row r="44" spans="1:16" x14ac:dyDescent="0.2">
      <c r="A44" s="5">
        <v>50</v>
      </c>
      <c r="B44" s="5">
        <v>0</v>
      </c>
      <c r="C44" s="5">
        <v>0</v>
      </c>
      <c r="D44" s="5">
        <v>1</v>
      </c>
      <c r="E44" s="5">
        <v>210</v>
      </c>
      <c r="F44" s="5">
        <v>14348</v>
      </c>
      <c r="G44" s="5" t="s">
        <v>157</v>
      </c>
      <c r="H44" s="5" t="s">
        <v>158</v>
      </c>
      <c r="I44" s="5"/>
      <c r="J44" s="5"/>
      <c r="K44" s="5">
        <v>210</v>
      </c>
      <c r="L44" s="5">
        <v>25</v>
      </c>
      <c r="M44" s="5">
        <v>3</v>
      </c>
      <c r="N44" s="5" t="s">
        <v>6</v>
      </c>
      <c r="O44" s="5">
        <v>0</v>
      </c>
      <c r="P44" s="5">
        <v>498177</v>
      </c>
    </row>
    <row r="45" spans="1:16" x14ac:dyDescent="0.2">
      <c r="A45" s="5">
        <v>50</v>
      </c>
      <c r="B45" s="5">
        <v>0</v>
      </c>
      <c r="C45" s="5">
        <v>0</v>
      </c>
      <c r="D45" s="5">
        <v>1</v>
      </c>
      <c r="E45" s="5">
        <v>211</v>
      </c>
      <c r="F45" s="5">
        <v>7515</v>
      </c>
      <c r="G45" s="5" t="s">
        <v>159</v>
      </c>
      <c r="H45" s="5" t="s">
        <v>160</v>
      </c>
      <c r="I45" s="5"/>
      <c r="J45" s="5"/>
      <c r="K45" s="5">
        <v>211</v>
      </c>
      <c r="L45" s="5">
        <v>26</v>
      </c>
      <c r="M45" s="5">
        <v>3</v>
      </c>
      <c r="N45" s="5" t="s">
        <v>6</v>
      </c>
      <c r="O45" s="5">
        <v>0</v>
      </c>
      <c r="P45" s="5">
        <v>260949</v>
      </c>
    </row>
    <row r="46" spans="1:16" x14ac:dyDescent="0.2">
      <c r="A46" s="5">
        <v>50</v>
      </c>
      <c r="B46" s="5">
        <v>0</v>
      </c>
      <c r="C46" s="5">
        <v>0</v>
      </c>
      <c r="D46" s="5">
        <v>1</v>
      </c>
      <c r="E46" s="5">
        <v>224</v>
      </c>
      <c r="F46" s="5">
        <v>67921</v>
      </c>
      <c r="G46" s="5" t="s">
        <v>161</v>
      </c>
      <c r="H46" s="5" t="s">
        <v>162</v>
      </c>
      <c r="I46" s="5"/>
      <c r="J46" s="5"/>
      <c r="K46" s="5">
        <v>224</v>
      </c>
      <c r="L46" s="5">
        <v>27</v>
      </c>
      <c r="M46" s="5">
        <v>3</v>
      </c>
      <c r="N46" s="5" t="s">
        <v>6</v>
      </c>
      <c r="O46" s="5">
        <v>0</v>
      </c>
      <c r="P46" s="5">
        <v>1401418</v>
      </c>
    </row>
    <row r="48" spans="1:16" x14ac:dyDescent="0.2">
      <c r="A48">
        <v>-1</v>
      </c>
    </row>
    <row r="51" spans="1:50" x14ac:dyDescent="0.2">
      <c r="A51" s="4">
        <v>75</v>
      </c>
      <c r="B51" s="4" t="s">
        <v>242</v>
      </c>
      <c r="C51" s="4">
        <v>2000</v>
      </c>
      <c r="D51" s="4">
        <v>0</v>
      </c>
      <c r="E51" s="4">
        <v>1</v>
      </c>
      <c r="F51" s="4"/>
      <c r="G51" s="4">
        <v>0</v>
      </c>
      <c r="H51" s="4">
        <v>1</v>
      </c>
      <c r="I51" s="4">
        <v>0</v>
      </c>
      <c r="J51" s="4">
        <v>4</v>
      </c>
      <c r="K51" s="4">
        <v>0</v>
      </c>
      <c r="L51" s="4">
        <v>0</v>
      </c>
      <c r="M51" s="4">
        <v>0</v>
      </c>
      <c r="N51" s="4">
        <v>74242616</v>
      </c>
      <c r="O51" s="4">
        <v>1</v>
      </c>
    </row>
    <row r="52" spans="1:50" x14ac:dyDescent="0.2">
      <c r="A52" s="4">
        <v>75</v>
      </c>
      <c r="B52" s="4" t="s">
        <v>243</v>
      </c>
      <c r="C52" s="4">
        <v>2025</v>
      </c>
      <c r="D52" s="4">
        <v>2</v>
      </c>
      <c r="E52" s="4">
        <v>0</v>
      </c>
      <c r="F52" s="4"/>
      <c r="G52" s="4">
        <v>0</v>
      </c>
      <c r="H52" s="4">
        <v>2</v>
      </c>
      <c r="I52" s="4">
        <v>0</v>
      </c>
      <c r="J52" s="4">
        <v>3</v>
      </c>
      <c r="K52" s="4">
        <v>0</v>
      </c>
      <c r="L52" s="4">
        <v>0</v>
      </c>
      <c r="M52" s="4">
        <v>1</v>
      </c>
      <c r="N52" s="4">
        <v>74242617</v>
      </c>
      <c r="O52" s="4">
        <v>2</v>
      </c>
    </row>
    <row r="53" spans="1:50" x14ac:dyDescent="0.2">
      <c r="A53" s="6">
        <v>1</v>
      </c>
      <c r="B53" s="6" t="s">
        <v>244</v>
      </c>
      <c r="C53" s="6" t="s">
        <v>245</v>
      </c>
      <c r="D53" s="6">
        <v>2025</v>
      </c>
      <c r="E53" s="6">
        <v>4</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74510410</v>
      </c>
      <c r="AO53" s="6"/>
      <c r="AP53" s="6"/>
      <c r="AQ53" s="6"/>
      <c r="AR53" s="6"/>
      <c r="AS53" s="6"/>
      <c r="AT53" s="6"/>
      <c r="AU53" s="6"/>
      <c r="AV53" s="6"/>
      <c r="AW53" s="6"/>
      <c r="AX53" s="6"/>
    </row>
  </sheetData>
  <printOptions gridLines="1"/>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10</vt:i4>
      </vt:variant>
    </vt:vector>
  </HeadingPairs>
  <TitlesOfParts>
    <vt:vector size="23" baseType="lpstr">
      <vt:lpstr>5.Ведомость_списания</vt:lpstr>
      <vt:lpstr>4.Ресурсный_расчет</vt:lpstr>
      <vt:lpstr>3.Материалы</vt:lpstr>
      <vt:lpstr>2.Лок.смета.и.Акт</vt:lpstr>
      <vt:lpstr>SourceOb.2</vt:lpstr>
      <vt:lpstr>1.Лок.смета.и.Акт</vt:lpstr>
      <vt:lpstr>SourceOb.1</vt:lpstr>
      <vt:lpstr>Source</vt:lpstr>
      <vt:lpstr>SourceObSm</vt:lpstr>
      <vt:lpstr>SmtRes</vt:lpstr>
      <vt:lpstr>EtalonRes</vt:lpstr>
      <vt:lpstr>SrcPoprs</vt:lpstr>
      <vt:lpstr>SrcKA</vt:lpstr>
      <vt:lpstr>'1.Лок.смета.и.Акт'!Заголовки_для_печати</vt:lpstr>
      <vt:lpstr>'2.Лок.смета.и.Акт'!Заголовки_для_печати</vt:lpstr>
      <vt:lpstr>'3.Материалы'!Заголовки_для_печати</vt:lpstr>
      <vt:lpstr>'4.Ресурсный_расчет'!Заголовки_для_печати</vt:lpstr>
      <vt:lpstr>'5.Ведомость_списания'!Заголовки_для_печати</vt:lpstr>
      <vt:lpstr>'1.Лок.смета.и.Акт'!Область_печати</vt:lpstr>
      <vt:lpstr>'2.Лок.смета.и.Акт'!Область_печати</vt:lpstr>
      <vt:lpstr>'3.Материалы'!Область_печати</vt:lpstr>
      <vt:lpstr>'4.Ресурсный_расчет'!Область_печати</vt:lpstr>
      <vt:lpstr>'5.Ведомость_списания'!Область_печати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Дербина Екатерина Сергеевна</cp:lastModifiedBy>
  <cp:lastPrinted>2025-09-16T09:58:37Z</cp:lastPrinted>
  <dcterms:created xsi:type="dcterms:W3CDTF">2025-08-13T09:46:27Z</dcterms:created>
  <dcterms:modified xsi:type="dcterms:W3CDTF">2025-09-16T11:44:37Z</dcterms:modified>
</cp:coreProperties>
</file>